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14.xml" ContentType="application/vnd.openxmlformats-officedocument.spreadsheetml.comments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vmlDrawing8.vml" ContentType="application/vnd.openxmlformats-officedocument.vmlDrawing"/>
  <Override PartName="/xl/drawings/drawing5.xml" ContentType="application/vnd.openxmlformats-officedocument.drawing+xml"/>
  <Override PartName="/xl/drawings/vmlDrawing4.vml" ContentType="application/vnd.openxmlformats-officedocument.vmlDrawing"/>
  <Override PartName="/xl/drawings/vmlDrawing7.vml" ContentType="application/vnd.openxmlformats-officedocument.vmlDrawing"/>
  <Override PartName="/xl/drawings/drawing4.xml" ContentType="application/vnd.openxmlformats-officedocument.drawing+xml"/>
  <Override PartName="/xl/drawings/vmlDrawing3.vml" ContentType="application/vnd.openxmlformats-officedocument.vmlDrawing"/>
  <Override PartName="/xl/drawings/vmlDrawing13.vml" ContentType="application/vnd.openxmlformats-officedocument.vmlDrawing"/>
  <Override PartName="/xl/drawings/vmlDrawing12.vml" ContentType="application/vnd.openxmlformats-officedocument.vmlDrawing"/>
  <Override PartName="/xl/drawings/vmlDrawing11.vml" ContentType="application/vnd.openxmlformats-officedocument.vmlDrawing"/>
  <Override PartName="/xl/drawings/vmlDrawing10.vml" ContentType="application/vnd.openxmlformats-officedocument.vmlDrawing"/>
  <Override PartName="/xl/drawings/vmlDrawing9.vml" ContentType="application/vnd.openxmlformats-officedocument.vmlDrawing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vmlDrawing5.vml" ContentType="application/vnd.openxmlformats-officedocument.vmlDrawing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6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vmlDrawing6.vml" ContentType="application/vnd.openxmlformats-officedocument.vmlDrawing"/>
  <Override PartName="/xl/comments2.xml" ContentType="application/vnd.openxmlformats-officedocument.spreadsheetml.comments+xml"/>
  <Override PartName="/xl/comments23.xml" ContentType="application/vnd.openxmlformats-officedocument.spreadsheetml.comments+xml"/>
  <Override PartName="/xl/comments11.xml" ContentType="application/vnd.openxmlformats-officedocument.spreadsheetml.comments+xml"/>
  <Override PartName="/xl/comments22.xml" ContentType="application/vnd.openxmlformats-officedocument.spreadsheetml.comments+xml"/>
  <Override PartName="/xl/sharedStrings.xml" ContentType="application/vnd.openxmlformats-officedocument.spreadsheetml.sharedStrings+xml"/>
  <Override PartName="/xl/comments15.xml" ContentType="application/vnd.openxmlformats-officedocument.spreadsheetml.comments+xml"/>
  <Override PartName="/xl/theme/theme1.xml" ContentType="application/vnd.openxmlformats-officedocument.theme+xml"/>
  <Override PartName="/xl/comments13.xml" ContentType="application/vnd.openxmlformats-officedocument.spreadsheetml.comments+xml"/>
  <Override PartName="/xl/comments17.xml" ContentType="application/vnd.openxmlformats-officedocument.spreadsheetml.comments+xml"/>
  <Override PartName="/xl/comments7.xml" ContentType="application/vnd.openxmlformats-officedocument.spreadsheetml.comments+xml"/>
  <Override PartName="/xl/comments10.xml" ContentType="application/vnd.openxmlformats-officedocument.spreadsheetml.comment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20.xml.rels" ContentType="application/vnd.openxmlformats-package.relationships+xml"/>
  <Override PartName="/xl/worksheets/_rels/sheet2.xml.rels" ContentType="application/vnd.openxmlformats-package.relationships+xml"/>
  <Override PartName="/xl/worksheets/_rels/sheet19.xml.rels" ContentType="application/vnd.openxmlformats-package.relationships+xml"/>
  <Override PartName="/xl/worksheets/_rels/sheet21.xml.rels" ContentType="application/vnd.openxmlformats-package.relationships+xml"/>
  <Override PartName="/xl/worksheets/_rels/sheet3.xml.rels" ContentType="application/vnd.openxmlformats-package.relationships+xml"/>
  <Override PartName="/xl/worksheets/_rels/sheet22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23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24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24.xml" ContentType="application/vnd.openxmlformats-officedocument.spreadsheetml.worksheet+xml"/>
  <Override PartName="/xl/worksheets/sheet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9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lcome" sheetId="1" state="visible" r:id="rId3"/>
    <sheet name="Home" sheetId="2" state="visible" r:id="rId4"/>
    <sheet name="Dashboard" sheetId="3" state="visible" r:id="rId5"/>
    <sheet name="Setup" sheetId="4" state="visible" r:id="rId6"/>
    <sheet name="Lists" sheetId="5" state="visible" r:id="rId7"/>
    <sheet name="Inputs" sheetId="6" state="visible" r:id="rId8"/>
    <sheet name="Budget" sheetId="7" state="visible" r:id="rId9"/>
    <sheet name="One-Time" sheetId="8" state="visible" r:id="rId10"/>
    <sheet name="Debts &amp; Credit" sheetId="9" state="visible" r:id="rId11"/>
    <sheet name="Accounts" sheetId="10" state="visible" r:id="rId12"/>
    <sheet name="Forecast" sheetId="11" state="visible" r:id="rId13"/>
    <sheet name="Keywords" sheetId="12" state="visible" r:id="rId14"/>
    <sheet name="Expense Log" sheetId="13" state="visible" r:id="rId15"/>
    <sheet name="Monthly Actuals" sheetId="14" state="visible" r:id="rId16"/>
    <sheet name="Reconcile" sheetId="15" state="visible" r:id="rId17"/>
    <sheet name="Tracker" sheetId="16" state="visible" r:id="rId18"/>
    <sheet name="Action Plan" sheetId="17" state="visible" r:id="rId19"/>
    <sheet name="Getting Started" sheetId="18" state="visible" r:id="rId20"/>
    <sheet name="How to Use" sheetId="19" state="visible" r:id="rId21"/>
    <sheet name="Snapshots" sheetId="20" state="visible" r:id="rId22"/>
    <sheet name="Import Map" sheetId="21" state="visible" r:id="rId23"/>
    <sheet name="Year View" sheetId="22" state="visible" r:id="rId24"/>
    <sheet name="Reports" sheetId="23" state="visible" r:id="rId25"/>
    <sheet name="About" sheetId="24" state="visible" r:id="rId26"/>
  </sheets>
  <definedNames>
    <definedName function="false" hidden="false" localSheetId="9" name="_xlnm.Print_Area" vbProcedure="false">Accounts!$A$1:$L$50</definedName>
    <definedName function="false" hidden="false" localSheetId="16" name="_xlnm.Print_Area" vbProcedure="false">'Action Plan'!$A$1:$E$19</definedName>
    <definedName function="false" hidden="false" localSheetId="16" name="_xlnm.Print_Titles" vbProcedure="false">'Action Plan'!$4:$4</definedName>
    <definedName function="false" hidden="false" localSheetId="6" name="_xlnm.Print_Area" vbProcedure="false">Budget!$A$1:$Q$40</definedName>
    <definedName function="false" hidden="false" localSheetId="6" name="_xlnm.Print_Titles" vbProcedure="false">Budget!$4:$4</definedName>
    <definedName function="false" hidden="false" localSheetId="2" name="_xlnm.Print_Area" vbProcedure="false">Dashboard!$A$1:$M$91</definedName>
    <definedName function="false" hidden="false" localSheetId="8" name="_xlnm.Print_Area" vbProcedure="false">'Debts &amp; Credit'!$A$1:$R$43</definedName>
    <definedName function="false" hidden="false" localSheetId="8" name="_xlnm.Print_Titles" vbProcedure="false">'Debts &amp; Credit'!$4:$4</definedName>
    <definedName function="false" hidden="false" localSheetId="12" name="_xlnm.Print_Area" vbProcedure="false">'Expense Log'!$A$1:$K$604</definedName>
    <definedName function="false" hidden="false" localSheetId="12" name="_xlnm.Print_Titles" vbProcedure="false">'Expense Log'!$4:$4</definedName>
    <definedName function="false" hidden="true" localSheetId="12" name="_xlnm._FilterDatabase" vbProcedure="false">'Expense Log'!$A$4:$Q$604</definedName>
    <definedName function="false" hidden="false" localSheetId="10" name="_xlnm.Print_Area" vbProcedure="false">Forecast!$A$1:$V$77</definedName>
    <definedName function="false" hidden="false" localSheetId="10" name="_xlnm.Print_Titles" vbProcedure="false">Forecast!$3:$4</definedName>
    <definedName function="false" hidden="false" localSheetId="1" name="_xlnm.Print_Area" vbProcedure="false">Home!$A$1:$J$47</definedName>
    <definedName function="false" hidden="false" localSheetId="11" name="_xlnm.Print_Titles" vbProcedure="false">Keywords!$4:$4</definedName>
    <definedName function="false" hidden="false" localSheetId="13" name="_xlnm.Print_Area" vbProcedure="false">'Monthly Actuals'!$A$1:$D$36</definedName>
    <definedName function="false" hidden="false" localSheetId="13" name="_xlnm.Print_Titles" vbProcedure="false">'Monthly Actuals'!$4:$4</definedName>
    <definedName function="false" hidden="false" localSheetId="7" name="_xlnm.Print_Titles" vbProcedure="false">'One-Time'!$4:$4</definedName>
    <definedName function="false" hidden="false" localSheetId="14" name="_xlnm.Print_Area" vbProcedure="false">Reconcile!$A$1:$K$42</definedName>
    <definedName function="false" hidden="false" localSheetId="22" name="_xlnm.Print_Area" vbProcedure="false">Reports!$A$1:$G$161</definedName>
    <definedName function="false" hidden="false" localSheetId="3" name="_xlnm.Print_Area" vbProcedure="false">Setup!$A$1:$F$63</definedName>
    <definedName function="false" hidden="false" localSheetId="19" name="_xlnm.Print_Titles" vbProcedure="false">Snapshots!$4:$4</definedName>
    <definedName function="false" hidden="false" localSheetId="15" name="_xlnm.Print_Area" vbProcedure="false">Tracker!$A$1:$H$24</definedName>
    <definedName function="false" hidden="false" localSheetId="15" name="_xlnm.Print_Titles" vbProcedure="false">Tracker!$4:$4</definedName>
    <definedName function="false" hidden="false" localSheetId="0" name="_xlnm.Print_Area" vbProcedure="false">Welcome!$A$1:$E$22</definedName>
    <definedName function="false" hidden="false" localSheetId="21" name="_xlnm.Print_Area" vbProcedure="false">'Year View'!$A$1:$Q$54</definedName>
    <definedName function="false" hidden="false" localSheetId="21" name="_xlnm.Print_Titles" vbProcedure="false">'Year View'!$4:$4</definedName>
    <definedName function="false" hidden="false" name="ActualsMonth" vbProcedure="false">'Monthly Actuals'!$B$3</definedName>
    <definedName function="false" hidden="false" name="BestCash" vbProcedure="false">Forecast!$C$32:$V$32</definedName>
    <definedName function="false" hidden="false" name="BudgetFixed" vbProcedure="false">Budget!$C$36</definedName>
    <definedName function="false" hidden="false" name="BudgetFlexible" vbProcedure="false">Budget!$C$37</definedName>
    <definedName function="false" hidden="false" name="BudgetTotal" vbProcedure="false">Budget!$C$38</definedName>
    <definedName function="false" hidden="false" name="CardDebt" vbProcedure="false">'Debts &amp; Credit'!$D$28</definedName>
    <definedName function="false" hidden="false" name="CashOnHand" vbProcedure="false">Inputs!$B$8</definedName>
    <definedName function="false" hidden="false" name="Categories" vbProcedure="false">Budget!$A$5:$A$34</definedName>
    <definedName function="false" hidden="false" name="ChangeDate" vbProcedure="false">Setup!$B$17</definedName>
    <definedName function="false" hidden="false" name="CreditUsed" vbProcedure="false">'Debts &amp; Credit'!$G$28</definedName>
    <definedName function="false" hidden="false" name="Cushion" vbProcedure="false">Accounts!$F$15</definedName>
    <definedName function="false" hidden="false" name="ForecastMonths" vbProcedure="false">Forecast!$C$3:$V$3</definedName>
    <definedName function="false" hidden="false" name="FXCodes" vbProcedure="false">Setup!$A$23:$A$46</definedName>
    <definedName function="false" hidden="false" name="FXRates" vbProcedure="false">Setup!$C$23:$C$46</definedName>
    <definedName function="false" hidden="false" name="HomeCurrency" vbProcedure="false">Setup!$B$8</definedName>
    <definedName function="false" hidden="false" name="HouseholdCash" vbProcedure="false">Accounts!$C$18</definedName>
    <definedName function="false" hidden="false" name="LikelyCash" vbProcedure="false">Forecast!$C$53:$V$53</definedName>
    <definedName function="false" hidden="false" name="ListAccountTypes" vbProcedure="false">Lists!$N$5:$N$61</definedName>
    <definedName function="false" hidden="false" name="ListBanks" vbProcedure="false">Lists!$G$5:$G$201</definedName>
    <definedName function="false" hidden="false" name="ListCategories" vbProcedure="false">Lists!$A$5:$A$118</definedName>
    <definedName function="false" hidden="false" name="ListDebtTypes" vbProcedure="false">Lists!$P$5:$P$59</definedName>
    <definedName function="false" hidden="false" name="ListLenders" vbProcedure="false">Lists!$J$5:$J$88</definedName>
    <definedName function="false" hidden="false" name="ListProviders" vbProcedure="false">Lists!$L$5:$L$73</definedName>
    <definedName function="false" hidden="false" name="LoanDebt" vbProcedure="false">'Debts &amp; Credit'!$D$29</definedName>
    <definedName function="false" hidden="false" name="LogTable" vbProcedure="false">'Expense Log'!$A$5:$Q$604</definedName>
    <definedName function="false" hidden="false" name="MinPayments" vbProcedure="false">'Debts &amp; Credit'!$I$30</definedName>
    <definedName function="false" hidden="false" name="NetWorth" vbProcedure="false">Accounts!$D$33</definedName>
    <definedName function="false" hidden="false" name="ReportMonth" vbProcedure="false">Reports!$B$3</definedName>
    <definedName function="false" hidden="false" name="RetirementTotal" vbProcedure="false">Accounts!$D$24</definedName>
    <definedName function="false" hidden="false" name="SavingsGoal" vbProcedure="false">Setup!$B$19</definedName>
    <definedName function="false" hidden="false" name="SnapshotTable" vbProcedure="false">Snapshots!$A$5:$L$44</definedName>
    <definedName function="false" hidden="false" name="StandbyCredit" vbProcedure="false">'Debts &amp; Credit'!$F$28</definedName>
    <definedName function="false" hidden="false" name="StartMonth" vbProcedure="false">Setup!$B$16</definedName>
    <definedName function="false" hidden="false" name="TakeHomePerCheck" vbProcedure="false">Setup!$B$10</definedName>
    <definedName function="false" hidden="false" name="WorstCash" vbProcedure="false">Forecast!$C$74:$V$74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22" authorId="0">
      <text>
        <r>
          <rPr>
            <sz val="10"/>
            <rFont val="Arial"/>
            <family val="2"/>
          </rPr>
          <t xml:space="preserve">With macros on, the Save button here writes the row to the Expense Log and clears the yellow cells. Without macros, type straight into the Expense Log.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Shows on the Home page.</t>
        </r>
      </text>
    </comment>
    <comment ref="B6" authorId="0">
      <text>
        <r>
          <rPr>
            <sz val="10"/>
            <rFont val="Arial"/>
            <family val="2"/>
          </rPr>
          <t xml:space="preserve">Leave blank if it's just you.</t>
        </r>
      </text>
    </comment>
    <comment ref="B7" authorId="0">
      <text>
        <r>
          <rPr>
            <sz val="10"/>
            <rFont val="Arial"/>
            <family val="2"/>
          </rPr>
          <t xml:space="preserve">Yes = partner's accounts, income and bills count in household cash.</t>
        </r>
      </text>
    </comment>
    <comment ref="B8" authorId="0">
      <text>
        <r>
          <rPr>
            <sz val="10"/>
            <rFont val="Arial"/>
            <family val="2"/>
          </rPr>
          <t xml:space="preserve">Pick from the currency table below. Every total in the workbook is in this currency.</t>
        </r>
      </text>
    </comment>
    <comment ref="B9" authorId="0">
      <text>
        <r>
          <rPr>
            <sz val="10"/>
            <rFont val="Arial"/>
            <family val="2"/>
          </rPr>
          <t xml:space="preserve">Weekly / Bi-weekly / Semi-monthly / Monthly.</t>
        </r>
      </text>
    </comment>
    <comment ref="B10" authorId="0">
      <text>
        <r>
          <rPr>
            <sz val="10"/>
            <rFont val="Arial"/>
            <family val="2"/>
          </rPr>
          <t xml:space="preserve">The amount that actually lands in your account.</t>
        </r>
      </text>
    </comment>
    <comment ref="B12" authorId="0">
      <text>
        <r>
          <rPr>
            <sz val="10"/>
            <rFont val="Arial"/>
            <family val="2"/>
          </rPr>
          <t xml:space="preserve">Any upcoming payday. Used to count paychecks per month on the Forecast.</t>
        </r>
      </text>
    </comment>
    <comment ref="B13" authorId="0">
      <text>
        <r>
          <rPr>
            <sz val="10"/>
            <rFont val="Arial"/>
            <family val="2"/>
          </rPr>
          <t xml:space="preserve">Their average monthly take-home.</t>
        </r>
      </text>
    </comment>
    <comment ref="B16" authorId="0">
      <text>
        <r>
          <rPr>
            <sz val="10"/>
            <rFont val="Arial"/>
            <family val="2"/>
          </rPr>
          <t xml:space="preserve">First month of the 20-month forecast.</t>
        </r>
      </text>
    </comment>
    <comment ref="B17" authorId="0">
      <text>
        <r>
          <rPr>
            <sz val="10"/>
            <rFont val="Arial"/>
            <family val="2"/>
          </rPr>
          <t xml:space="preserve">Last day of a job, retirement date, leave start, contract end… Leave blank if nothing is changing.</t>
        </r>
      </text>
    </comment>
    <comment ref="B18" authorId="0">
      <text>
        <r>
          <rPr>
            <sz val="10"/>
            <rFont val="Arial"/>
            <family val="2"/>
          </rPr>
          <t xml:space="preserve">Most planners say 3–6 months.</t>
        </r>
      </text>
    </comment>
    <comment ref="B19" authorId="0">
      <text>
        <r>
          <rPr>
            <sz val="10"/>
            <rFont val="Arial"/>
            <family val="2"/>
          </rPr>
          <t xml:space="preserve">A number to aim for by the change date (or in 12 months).</t>
        </r>
      </text>
    </comment>
    <comment ref="B50" authorId="0">
      <text>
        <r>
          <rPr>
            <sz val="10"/>
            <rFont val="Arial"/>
            <family val="2"/>
          </rPr>
          <t xml:space="preserve">Total before withholding.</t>
        </r>
      </text>
    </comment>
    <comment ref="B51" authorId="0">
      <text>
        <r>
          <rPr>
            <sz val="10"/>
            <rFont val="Arial"/>
            <family val="2"/>
          </rPr>
          <t xml:space="preserve">Lump sum = 1.</t>
        </r>
      </text>
    </comment>
    <comment ref="B52" authorId="0">
      <text>
        <r>
          <rPr>
            <sz val="10"/>
            <rFont val="Arial"/>
            <family val="2"/>
          </rPr>
          <t xml:space="preserve">Blank = the month after the change date.</t>
        </r>
      </text>
    </comment>
    <comment ref="B55" authorId="0">
      <text>
        <r>
          <rPr>
            <sz val="10"/>
            <rFont val="Arial"/>
            <family val="2"/>
          </rPr>
          <t xml:space="preserve">Blank = the month after the change date.</t>
        </r>
      </text>
    </comment>
    <comment ref="B56" authorId="0">
      <text>
        <r>
          <rPr>
            <sz val="10"/>
            <rFont val="Arial"/>
            <family val="2"/>
          </rPr>
          <t xml:space="preserve">Bonus pay is usually withheld at a flat supplemental rate.</t>
        </r>
      </text>
    </comment>
    <comment ref="B57" authorId="0">
      <text>
        <r>
          <rPr>
            <sz val="10"/>
            <rFont val="Arial"/>
            <family val="2"/>
          </rPr>
          <t xml:space="preserve">Your state/province sets this. Blank = none.</t>
        </r>
      </text>
    </comment>
    <comment ref="B60" authorId="0">
      <text>
        <r>
          <rPr>
            <sz val="10"/>
            <rFont val="Arial"/>
            <family val="2"/>
          </rPr>
          <t xml:space="preserve">COBRA, marketplace plan, partner's plan… Blank = none.</t>
        </r>
      </text>
    </comment>
    <comment ref="B61" authorId="0">
      <text>
        <r>
          <rPr>
            <sz val="10"/>
            <rFont val="Arial"/>
            <family val="2"/>
          </rPr>
          <t xml:space="preserve">Blank = same as above.</t>
        </r>
      </text>
    </comment>
    <comment ref="B62" authorId="0">
      <text>
        <r>
          <rPr>
            <sz val="10"/>
            <rFont val="Arial"/>
            <family val="2"/>
          </rPr>
          <t xml:space="preserve">Read-only — update balances on Accounts.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From Setup.</t>
        </r>
      </text>
    </comment>
    <comment ref="B6" authorId="0">
      <text>
        <r>
          <rPr>
            <sz val="10"/>
            <rFont val="Arial"/>
            <family val="2"/>
          </rPr>
          <t xml:space="preserve">From Setup. Blank there = no change (treated as 20 years out).</t>
        </r>
      </text>
    </comment>
    <comment ref="B7" authorId="0">
      <text>
        <r>
          <rPr>
            <sz val="10"/>
            <rFont val="Arial"/>
            <family val="2"/>
          </rPr>
          <t xml:space="preserve">From Setup.</t>
        </r>
      </text>
    </comment>
    <comment ref="B8" authorId="0">
      <text>
        <r>
          <rPr>
            <sz val="10"/>
            <rFont val="Arial"/>
            <family val="2"/>
          </rPr>
          <t xml:space="preserve">Pulled from the Accounts tab.</t>
        </r>
      </text>
    </comment>
    <comment ref="B13" authorId="0">
      <text>
        <r>
          <rPr>
            <sz val="10"/>
            <rFont val="Arial"/>
            <family val="2"/>
          </rPr>
          <t xml:space="preserve">For reference only.</t>
        </r>
      </text>
    </comment>
    <comment ref="B14" authorId="0">
      <text>
        <r>
          <rPr>
            <sz val="10"/>
            <rFont val="Arial"/>
            <family val="2"/>
          </rPr>
          <t xml:space="preserve">From Setup.</t>
        </r>
      </text>
    </comment>
    <comment ref="B15" authorId="0">
      <text>
        <r>
          <rPr>
            <sz val="10"/>
            <rFont val="Arial"/>
            <family val="2"/>
          </rPr>
          <t xml:space="preserve">From Setup.</t>
        </r>
      </text>
    </comment>
    <comment ref="B17" authorId="0">
      <text>
        <r>
          <rPr>
            <sz val="10"/>
            <rFont val="Arial"/>
            <family val="2"/>
          </rPr>
          <t xml:space="preserve">From Setup.</t>
        </r>
      </text>
    </comment>
    <comment ref="B20" authorId="0">
      <text>
        <r>
          <rPr>
            <sz val="10"/>
            <rFont val="Arial"/>
            <family val="2"/>
          </rPr>
          <t xml:space="preserve">From Setup.</t>
        </r>
      </text>
    </comment>
    <comment ref="B21" authorId="0">
      <text>
        <r>
          <rPr>
            <sz val="10"/>
            <rFont val="Arial"/>
            <family val="2"/>
          </rPr>
          <t xml:space="preserve">Blank on Setup = month after the change.</t>
        </r>
      </text>
    </comment>
    <comment ref="B23" authorId="0">
      <text>
        <r>
          <rPr>
            <sz val="10"/>
            <rFont val="Arial"/>
            <family val="2"/>
          </rPr>
          <t xml:space="preserve">From Setup.</t>
        </r>
      </text>
    </comment>
    <comment ref="B28" authorId="0">
      <text>
        <r>
          <rPr>
            <sz val="10"/>
            <rFont val="Arial"/>
            <family val="2"/>
          </rPr>
          <t xml:space="preserve">From Setup.</t>
        </r>
      </text>
    </comment>
    <comment ref="B31" authorId="0">
      <text>
        <r>
          <rPr>
            <sz val="10"/>
            <rFont val="Arial"/>
            <family val="2"/>
          </rPr>
          <t xml:space="preserve">Assumed to start after payment 1 ends (many states reduce benefits during severance). Change if yours differs.</t>
        </r>
      </text>
    </comment>
    <comment ref="B35" authorId="0">
      <text>
        <r>
          <rPr>
            <sz val="10"/>
            <rFont val="Arial"/>
            <family val="2"/>
          </rPr>
          <t xml:space="preserve">COBRA, marketplace, partner's plan…</t>
        </r>
      </text>
    </comment>
    <comment ref="B36" authorId="0">
      <text>
        <r>
          <rPr>
            <sz val="10"/>
            <rFont val="Arial"/>
            <family val="2"/>
          </rPr>
          <t xml:space="preserve">From Setup.</t>
        </r>
      </text>
    </comment>
    <comment ref="B37" authorId="0">
      <text>
        <r>
          <rPr>
            <sz val="10"/>
            <rFont val="Arial"/>
            <family val="2"/>
          </rPr>
          <t xml:space="preserve">Add here if separate.</t>
        </r>
      </text>
    </comment>
    <comment ref="B40" authorId="0">
      <text>
        <r>
          <rPr>
            <sz val="10"/>
            <rFont val="Arial"/>
            <family val="2"/>
          </rPr>
          <t xml:space="preserve">Stops when new income starts (assumes new coverage).</t>
        </r>
      </text>
    </comment>
    <comment ref="B44" authorId="0">
      <text>
        <r>
          <rPr>
            <sz val="10"/>
            <rFont val="Arial"/>
            <family val="2"/>
          </rPr>
          <t xml:space="preserve">From Setup.</t>
        </r>
      </text>
    </comment>
    <comment ref="B45" authorId="0">
      <text>
        <r>
          <rPr>
            <sz val="10"/>
            <rFont val="Arial"/>
            <family val="2"/>
          </rPr>
          <t xml:space="preserve">Blank = continues through the plan.</t>
        </r>
      </text>
    </comment>
    <comment ref="B49" authorId="0">
      <text>
        <r>
          <rPr>
            <sz val="10"/>
            <rFont val="Arial"/>
            <family val="2"/>
          </rPr>
          <t xml:space="preserve">Used with the hours per week in the scenario table.</t>
        </r>
      </text>
    </comment>
    <comment ref="B53" authorId="0">
      <text>
        <r>
          <rPr>
            <sz val="10"/>
            <rFont val="Arial"/>
            <family val="2"/>
          </rPr>
          <t xml:space="preserve">Sum of the lines at the bottom of the One-Time tab. Spread across months by the % row on the Forecast.</t>
        </r>
      </text>
    </comment>
    <comment ref="B54" authorId="0">
      <text>
        <r>
          <rPr>
            <sz val="10"/>
            <rFont val="Arial"/>
            <family val="2"/>
          </rPr>
          <t xml:space="preserve">Travelling for weeks? Set to 30–50%.</t>
        </r>
      </text>
    </comment>
    <comment ref="B57" authorId="0">
      <text>
        <r>
          <rPr>
            <sz val="10"/>
            <rFont val="Arial"/>
            <family val="2"/>
          </rPr>
          <t xml:space="preserve">From Setup.</t>
        </r>
      </text>
    </comment>
    <comment ref="B58" authorId="0">
      <text>
        <r>
          <rPr>
            <sz val="10"/>
            <rFont val="Arial"/>
            <family val="2"/>
          </rPr>
          <t xml:space="preserve">From Setup.</t>
        </r>
      </text>
    </comment>
    <comment ref="B72" authorId="0">
      <text>
        <r>
          <rPr>
            <sz val="10"/>
            <rFont val="Arial"/>
            <family val="2"/>
          </rPr>
          <t xml:space="preserve">If you plan to move balances to a 0% card.</t>
        </r>
      </text>
    </comment>
    <comment ref="B73" authorId="0">
      <text>
        <r>
          <rPr>
            <sz val="10"/>
            <rFont val="Arial"/>
            <family val="2"/>
          </rPr>
          <t xml:space="preserve">Typical 3–5%.</t>
        </r>
      </text>
    </comment>
    <comment ref="B75" authorId="0">
      <text>
        <r>
          <rPr>
            <sz val="10"/>
            <rFont val="Arial"/>
            <family val="2"/>
          </rPr>
          <t xml:space="preserve">Assumes 15 months; edit if yours differs.</t>
        </r>
      </text>
    </comment>
    <comment ref="B76" authorId="0">
      <text>
        <r>
          <rPr>
            <sz val="10"/>
            <rFont val="Arial"/>
            <family val="2"/>
          </rPr>
          <t xml:space="preserve">Standby only. Never counted as income.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Type each bill in its own currency and pick the code (blank = home currency). Columns K–M convert to your home currency and drive everything else. Column A names are the Expense Log categories.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One row per card, line or loan. Type balances in the account's currency and pick the code (blank = home). Columns P–R convert to home currency; the totals and every other tab use those. Update balances monthly (blue).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Update balances once a month (blue) and put the date in Updated. Type each balance in its own currency; column F converts to home.</t>
        </r>
      </text>
    </comment>
  </commentList>
</comments>
</file>

<file path=xl/comments1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Everything is a formula. Paychecks per month come from your pay frequency and next payday on Setup (overwrite a cell if a month differs). Change assumptions on Setup, Inputs, Budget, One-Time and Debts &amp; Credit.</t>
        </r>
      </text>
    </comment>
    <comment ref="C5" authorId="0">
      <text>
        <r>
          <rPr>
            <sz val="10"/>
            <rFont val="Arial"/>
            <family val="2"/>
          </rPr>
          <t xml:space="preserve">Counts paydays in each month from the pay frequency and next payday on Setup, and stops at the income change date. Type a number over any month that differs.</t>
        </r>
      </text>
    </comment>
    <comment ref="D6" authorId="0">
      <text>
        <r>
          <rPr>
            <sz val="10"/>
            <rFont val="Arial"/>
            <family val="2"/>
          </rPr>
          <t xml:space="preserve">Spread the big planned expense (Inputs B53) across months: e.g. 30% / 40% / 30%. Should add up to 100%.</t>
        </r>
      </text>
    </comment>
  </commentList>
</comments>
</file>

<file path=xl/comments1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Enter Date, Description, Amount. Pick a Category only if the suggestion is wrong (or blank). Paid abroad? Pick the currency in J and K converts it. Rows feed Monthly Actuals and the Tracker.</t>
        </r>
      </text>
    </comment>
  </commentList>
</comments>
</file>

<file path=xl/comments1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Pick a month in B3 to compare it against the budget. Columns F onward show every month of the plan. All amounts in home currency.</t>
        </r>
      </text>
    </comment>
  </commentList>
</comments>
</file>

<file path=xl/comments1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Once a month per account: type the date and balance from your last statement (blue). The sheet adds what you logged since then and compares it with the balance on Accounts. A difference means something wasn't logged.</t>
        </r>
      </text>
    </comment>
  </commentList>
</comments>
</file>

<file path=xl/comments1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A starter list — edit, delete, add your own. 'When' is a month (type it like Jan 2027) or the word Monthly. Update Status as you go.</t>
        </r>
      </text>
    </comment>
  </commentList>
</comments>
</file>

<file path=xl/comments2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Twelve months of actual spending by category against the monthly budget, from the start month on Setup. Numbers come from the Expense Log via Monthly Actuals.</t>
        </r>
      </text>
    </comment>
  </commentList>
</comments>
</file>

<file path=xl/comments2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Pick the month in B3. Three printable pages: Month in review · Debt progress · Budget vs actual.</t>
        </r>
      </text>
    </comment>
  </commentList>
</comments>
</file>

<file path=xl/sharedStrings.xml><?xml version="1.0" encoding="utf-8"?>
<sst xmlns="http://schemas.openxmlformats.org/spreadsheetml/2006/main" count="2420" uniqueCount="1307">
  <si>
    <t xml:space="preserve">⌂ Home</t>
  </si>
  <si>
    <t xml:space="preserve">Dashboard</t>
  </si>
  <si>
    <t xml:space="preserve">RUNWAY</t>
  </si>
  <si>
    <t xml:space="preserve">A household plan that tells you how long your money lasts — and what to do about it.</t>
  </si>
  <si>
    <t xml:space="preserve">THREE WAYS TO START</t>
  </si>
  <si>
    <t xml:space="preserve">①  Start setup</t>
  </si>
  <si>
    <t xml:space="preserve">②  Load sample data</t>
  </si>
  <si>
    <t xml:space="preserve">③  Clear sample data</t>
  </si>
  <si>
    <t xml:space="preserve">Type your own numbers. About an hour.</t>
  </si>
  <si>
    <t xml:space="preserve">See it working with a made-up household first.</t>
  </si>
  <si>
    <t xml:space="preserve">Wipe the sample and start clean.</t>
  </si>
  <si>
    <t xml:space="preserve">② and ③ are buttons once you run Deploy (see How to Use). Without macros, type on Setup and ignore them.</t>
  </si>
  <si>
    <t xml:space="preserve">THE ROUTINE</t>
  </si>
  <si>
    <t xml:space="preserve">1.  Setup — your name, pay, dates, currency.</t>
  </si>
  <si>
    <t xml:space="preserve">2.  Accounts — every balance.</t>
  </si>
  <si>
    <t xml:space="preserve">3.  Budget — every monthly bill (any currency).</t>
  </si>
  <si>
    <t xml:space="preserve">4.  Debts &amp; Credit — every card and loan.</t>
  </si>
  <si>
    <t xml:space="preserve">5.  Home — read the tiles. Log spending as you go.</t>
  </si>
  <si>
    <t xml:space="preserve">6.  Month end — update balances, take a snapshot, print the Dashboard.</t>
  </si>
  <si>
    <t xml:space="preserve">COLORS</t>
  </si>
  <si>
    <t xml:space="preserve">Blue = type here   ·   Black = formula   ·   Green = pulled from another tab   ·   Yellow = double-check   ·   Red = negative</t>
  </si>
  <si>
    <t xml:space="preserve">Home</t>
  </si>
  <si>
    <t xml:space="preserve">Log</t>
  </si>
  <si>
    <t xml:space="preserve">Budget</t>
  </si>
  <si>
    <t xml:space="preserve">Debts</t>
  </si>
  <si>
    <t xml:space="preserve">Accounts</t>
  </si>
  <si>
    <t xml:space="preserve">Forecast</t>
  </si>
  <si>
    <t xml:space="preserve">Reports</t>
  </si>
  <si>
    <t xml:space="preserve">CASH ON HAND</t>
  </si>
  <si>
    <t xml:space="preserve">LEFT OVER / MONTH</t>
  </si>
  <si>
    <t xml:space="preserve">CUSHION SAVED</t>
  </si>
  <si>
    <t xml:space="preserve">DAYS TO THE CHANGE</t>
  </si>
  <si>
    <t xml:space="preserve">SCORECARD · THIS MONTH VS PLAN</t>
  </si>
  <si>
    <t xml:space="preserve">Spending this month</t>
  </si>
  <si>
    <t xml:space="preserve">Card debt</t>
  </si>
  <si>
    <t xml:space="preserve">Most over budget</t>
  </si>
  <si>
    <t xml:space="preserve">Uncategorized entries</t>
  </si>
  <si>
    <t xml:space="preserve">Lowest cash ahead (worst case)</t>
  </si>
  <si>
    <t xml:space="preserve">Actions due this month</t>
  </si>
  <si>
    <t xml:space="preserve">GO TO</t>
  </si>
  <si>
    <t xml:space="preserve">Expense Log</t>
  </si>
  <si>
    <t xml:space="preserve">Monthly Actuals</t>
  </si>
  <si>
    <t xml:space="preserve">Debts &amp; Credit</t>
  </si>
  <si>
    <t xml:space="preserve">Action Plan</t>
  </si>
  <si>
    <t xml:space="preserve">QUICK ADD EXPENSE</t>
  </si>
  <si>
    <t xml:space="preserve">Date</t>
  </si>
  <si>
    <t xml:space="preserve">SAVE  ▸</t>
  </si>
  <si>
    <t xml:space="preserve">Description</t>
  </si>
  <si>
    <t xml:space="preserve">Amount</t>
  </si>
  <si>
    <t xml:space="preserve">MONTH-END SNAPSHOT</t>
  </si>
  <si>
    <t xml:space="preserve">Category (optional)</t>
  </si>
  <si>
    <t xml:space="preserve">Paid from</t>
  </si>
  <si>
    <t xml:space="preserve">Main checking</t>
  </si>
  <si>
    <t xml:space="preserve">IMPORT BANK CSV</t>
  </si>
  <si>
    <t xml:space="preserve">MONTHLY ROUTINE · TICKS ITSELF OFF</t>
  </si>
  <si>
    <t xml:space="preserve">Log or import this month's spending</t>
  </si>
  <si>
    <t xml:space="preserve">Categorize everything</t>
  </si>
  <si>
    <t xml:space="preserve">Update account balances (Accounts tab)</t>
  </si>
  <si>
    <t xml:space="preserve">Pay off / transfer per the Action Plan</t>
  </si>
  <si>
    <t xml:space="preserve">Take the month-end snapshot</t>
  </si>
  <si>
    <t xml:space="preserve">Print the Dashboard and Reports</t>
  </si>
  <si>
    <t xml:space="preserve">Blue / yellow cells are yours. Everything else is live. Buttons work after Deploy (macros); without them, use the Go To links and type into the Log.</t>
  </si>
  <si>
    <t xml:space="preserve">HEALTH CHECK · FIX THESE FIRST</t>
  </si>
  <si>
    <t xml:space="preserve">Bills on the Budget with no amount</t>
  </si>
  <si>
    <t xml:space="preserve">Setup: take-home per paycheck</t>
  </si>
  <si>
    <t xml:space="preserve">Accounts not updated in 35+ days</t>
  </si>
  <si>
    <t xml:space="preserve">Keywords pointing to a category that isn't on the Budget</t>
  </si>
  <si>
    <t xml:space="preserve">Months where likely cash goes below zero</t>
  </si>
  <si>
    <t xml:space="preserve">Recurring payees not on the Budget</t>
  </si>
  <si>
    <t xml:space="preserve">Accounts that don't reconcile</t>
  </si>
  <si>
    <t xml:space="preserve">page 1 of 2</t>
  </si>
  <si>
    <t xml:space="preserve">RUNWAY (MONTHS)</t>
  </si>
  <si>
    <t xml:space="preserve">STANDBY CREDIT</t>
  </si>
  <si>
    <t xml:space="preserve">CASH AT THE CHANGE (LIKELY)</t>
  </si>
  <si>
    <t xml:space="preserve">LOW POINT (WORST CASE)</t>
  </si>
  <si>
    <t xml:space="preserve">TRANSITION MONEY (NET)</t>
  </si>
  <si>
    <t xml:space="preserve">MONTHLY BILLS vs PAY  (current level)</t>
  </si>
  <si>
    <t xml:space="preserve">DEBTS &amp; CREDIT</t>
  </si>
  <si>
    <t xml:space="preserve">Bill</t>
  </si>
  <si>
    <t xml:space="preserve">Due</t>
  </si>
  <si>
    <t xml:space="preserve">Lender</t>
  </si>
  <si>
    <t xml:space="preserve">Owed</t>
  </si>
  <si>
    <t xml:space="preserve">Limit</t>
  </si>
  <si>
    <t xml:space="preserve">Used</t>
  </si>
  <si>
    <t xml:space="preserve">Rate</t>
  </si>
  <si>
    <t xml:space="preserve">Min pmt</t>
  </si>
  <si>
    <t xml:space="preserve">CARDS &amp; LINES</t>
  </si>
  <si>
    <t xml:space="preserve">LOANS (car + mortgage)</t>
  </si>
  <si>
    <t xml:space="preserve">Interest cost of card balances / month</t>
  </si>
  <si>
    <t xml:space="preserve">Highest APR carrying a balance</t>
  </si>
  <si>
    <t xml:space="preserve">0% balance-transfer period ends</t>
  </si>
  <si>
    <t xml:space="preserve">TOTAL BILLS + SPENDING</t>
  </si>
  <si>
    <t xml:space="preserve">Your take-home (avg/month)</t>
  </si>
  <si>
    <t xml:space="preserve">Partner take-home (this month)</t>
  </si>
  <si>
    <t xml:space="preserve">LEFT OVER each month</t>
  </si>
  <si>
    <t xml:space="preserve">Spent so far this month</t>
  </si>
  <si>
    <t xml:space="preserve">HOUSEHOLD PLAN — page 2</t>
  </si>
  <si>
    <t xml:space="preserve">CASH &amp; ACCOUNTS</t>
  </si>
  <si>
    <t xml:space="preserve">Paychecks left</t>
  </si>
  <si>
    <t xml:space="preserve">Your take-home still to come</t>
  </si>
  <si>
    <t xml:space="preserve">Partner income (likely)</t>
  </si>
  <si>
    <t xml:space="preserve">One-time income (bonuses, med. card)</t>
  </si>
  <si>
    <t xml:space="preserve">TOTAL IN</t>
  </si>
  <si>
    <t xml:space="preserve">Spending over the same months (all of it)</t>
  </si>
  <si>
    <t xml:space="preserve">TRANSITION MONEY after the change (net)</t>
  </si>
  <si>
    <t xml:space="preserve">Transition money = severance + bonus + unemployment, after withholding (Setup). Zero if nothing is changing.</t>
  </si>
  <si>
    <t xml:space="preserve">HOUSEHOLD CASH</t>
  </si>
  <si>
    <t xml:space="preserve">Retirement (backstop only)</t>
  </si>
  <si>
    <t xml:space="preserve">Net worth</t>
  </si>
  <si>
    <t xml:space="preserve">SCENARIOS</t>
  </si>
  <si>
    <t xml:space="preserve">SAFETY NET — layers (use in this order)</t>
  </si>
  <si>
    <t xml:space="preserve">Best</t>
  </si>
  <si>
    <t xml:space="preserve">Likely</t>
  </si>
  <si>
    <t xml:space="preserve">Worst</t>
  </si>
  <si>
    <t xml:space="preserve">1. Cash on hand</t>
  </si>
  <si>
    <t xml:space="preserve">Cash at the change</t>
  </si>
  <si>
    <t xml:space="preserve">2. Savings cushion</t>
  </si>
  <si>
    <t xml:space="preserve">Lowest cash point</t>
  </si>
  <si>
    <t xml:space="preserve">3. Standby line of credit</t>
  </si>
  <si>
    <t xml:space="preserve">Month of lowest cash</t>
  </si>
  <si>
    <t xml:space="preserve">4. Unused card limits (last resort)</t>
  </si>
  <si>
    <t xml:space="preserve">Cash in month 20</t>
  </si>
  <si>
    <t xml:space="preserve">5. Retirement accounts (taxed, penalties — last resort)</t>
  </si>
  <si>
    <t xml:space="preserve">Transition money (net) after the change</t>
  </si>
  <si>
    <t xml:space="preserve">☐ Cushion account opened + auto-transfer   ☐ Credit reports pulled   ☐ High-APR balances cleared   ☐ Subscriptions trimmed</t>
  </si>
  <si>
    <t xml:space="preserve">☐ Standby credit in place   ☐ Health-insurance plan after a change   ☐ Severance / bonus dates in writing   ☐ Scenarios reviewed</t>
  </si>
  <si>
    <t xml:space="preserve">Setup — start here</t>
  </si>
  <si>
    <t xml:space="preserve">Fill the blue cells top to bottom. Leave anything that doesn't apply blank. Everything else in the workbook reads from this page.</t>
  </si>
  <si>
    <t xml:space="preserve">ABOUT YOU</t>
  </si>
  <si>
    <t xml:space="preserve">Your name</t>
  </si>
  <si>
    <t xml:space="preserve">Shows on the Home page.</t>
  </si>
  <si>
    <t xml:space="preserve">Partner name (optional)</t>
  </si>
  <si>
    <t xml:space="preserve">Leave blank if it's just you.</t>
  </si>
  <si>
    <t xml:space="preserve">Include partner's money in the plan?</t>
  </si>
  <si>
    <t xml:space="preserve">Yes</t>
  </si>
  <si>
    <t xml:space="preserve">Yes = partner's accounts, income and bills count in household cash.</t>
  </si>
  <si>
    <t xml:space="preserve">Home currency (code)</t>
  </si>
  <si>
    <t xml:space="preserve">USD</t>
  </si>
  <si>
    <t xml:space="preserve">Pick from the currency table below. Every total in the workbook is in this currency.</t>
  </si>
  <si>
    <t xml:space="preserve">Pay frequency</t>
  </si>
  <si>
    <t xml:space="preserve">Bi-weekly</t>
  </si>
  <si>
    <t xml:space="preserve">Weekly / Bi-weekly / Semi-monthly / Monthly.</t>
  </si>
  <si>
    <t xml:space="preserve">Take-home per paycheck</t>
  </si>
  <si>
    <t xml:space="preserve">The amount that actually lands in your account.</t>
  </si>
  <si>
    <t xml:space="preserve">Paychecks per year</t>
  </si>
  <si>
    <t xml:space="preserve">Next payday</t>
  </si>
  <si>
    <t xml:space="preserve">Any upcoming payday. Used to count paychecks per month on the Forecast.</t>
  </si>
  <si>
    <t xml:space="preserve">Partner take-home per month (optional)</t>
  </si>
  <si>
    <t xml:space="preserve">Their average monthly take-home.</t>
  </si>
  <si>
    <t xml:space="preserve">DATES &amp; GOALS</t>
  </si>
  <si>
    <t xml:space="preserve">Plan start month</t>
  </si>
  <si>
    <t xml:space="preserve">First month of the 20-month forecast.</t>
  </si>
  <si>
    <t xml:space="preserve">Income change date (optional)</t>
  </si>
  <si>
    <t xml:space="preserve">Last day of a job, retirement date, leave start, contract end… Leave blank if nothing is changing.</t>
  </si>
  <si>
    <t xml:space="preserve">Cash cushion goal (months of lean spending)</t>
  </si>
  <si>
    <t xml:space="preserve">Most planners say 3–6 months.</t>
  </si>
  <si>
    <t xml:space="preserve">Savings goal (cash to set aside)</t>
  </si>
  <si>
    <t xml:space="preserve">A number to aim for by the change date (or in 12 months).</t>
  </si>
  <si>
    <t xml:space="preserve">CURRENCIES — units of each currency per 1 unit of your home currency</t>
  </si>
  <si>
    <t xml:space="preserve">Code</t>
  </si>
  <si>
    <t xml:space="preserve">Currency</t>
  </si>
  <si>
    <t xml:space="preserve">Per 1 home unit</t>
  </si>
  <si>
    <t xml:space="preserve">Updated</t>
  </si>
  <si>
    <t xml:space="preserve">Notes</t>
  </si>
  <si>
    <t xml:space="preserve">US dollar</t>
  </si>
  <si>
    <t xml:space="preserve">Rates are rough starting points per 1 USD (yellow = update them). If your home currency isn't USD, re-enter each rate as 'units per 1 of YOUR currency' and set the home currency row to 1.</t>
  </si>
  <si>
    <t xml:space="preserve">CAD</t>
  </si>
  <si>
    <t xml:space="preserve">Canadian dollar</t>
  </si>
  <si>
    <t xml:space="preserve">GBP</t>
  </si>
  <si>
    <t xml:space="preserve">British pound</t>
  </si>
  <si>
    <t xml:space="preserve">EUR</t>
  </si>
  <si>
    <t xml:space="preserve">Euro</t>
  </si>
  <si>
    <t xml:space="preserve">MXN</t>
  </si>
  <si>
    <t xml:space="preserve">Mexican peso</t>
  </si>
  <si>
    <t xml:space="preserve">THB</t>
  </si>
  <si>
    <t xml:space="preserve">Thai baht</t>
  </si>
  <si>
    <t xml:space="preserve">PHP</t>
  </si>
  <si>
    <t xml:space="preserve">Philippine peso</t>
  </si>
  <si>
    <t xml:space="preserve">INR</t>
  </si>
  <si>
    <t xml:space="preserve">Indian rupee</t>
  </si>
  <si>
    <t xml:space="preserve">BRL</t>
  </si>
  <si>
    <t xml:space="preserve">Brazilian real</t>
  </si>
  <si>
    <t xml:space="preserve">COP</t>
  </si>
  <si>
    <t xml:space="preserve">Colombian peso</t>
  </si>
  <si>
    <t xml:space="preserve">ARS</t>
  </si>
  <si>
    <t xml:space="preserve">Argentine peso</t>
  </si>
  <si>
    <t xml:space="preserve">CLP</t>
  </si>
  <si>
    <t xml:space="preserve">Chilean peso</t>
  </si>
  <si>
    <t xml:space="preserve">PEN</t>
  </si>
  <si>
    <t xml:space="preserve">Peruvian sol</t>
  </si>
  <si>
    <t xml:space="preserve">JPY</t>
  </si>
  <si>
    <t xml:space="preserve">Japanese yen</t>
  </si>
  <si>
    <t xml:space="preserve">CNY</t>
  </si>
  <si>
    <t xml:space="preserve">Chinese yuan</t>
  </si>
  <si>
    <t xml:space="preserve">VND</t>
  </si>
  <si>
    <t xml:space="preserve">Vietnamese dong</t>
  </si>
  <si>
    <t xml:space="preserve">AUD</t>
  </si>
  <si>
    <t xml:space="preserve">Australian dollar</t>
  </si>
  <si>
    <t xml:space="preserve">NGN</t>
  </si>
  <si>
    <t xml:space="preserve">Nigerian naira</t>
  </si>
  <si>
    <t xml:space="preserve">How it works: anywhere you see a Currency column, type the amount in that currency and pick the code; the workbook converts it into your home currency for every total.</t>
  </si>
  <si>
    <t xml:space="preserve">IF YOUR INCOME IS CHANGING (optional — leave blank if not)</t>
  </si>
  <si>
    <t xml:space="preserve">Payment 1 — severance / final payout (gross)</t>
  </si>
  <si>
    <t xml:space="preserve">Total before withholding.</t>
  </si>
  <si>
    <t xml:space="preserve">…paid over how many months</t>
  </si>
  <si>
    <t xml:space="preserve">Lump sum = 1.</t>
  </si>
  <si>
    <t xml:space="preserve">…first month paid</t>
  </si>
  <si>
    <t xml:space="preserve">Blank = the month after the change date.</t>
  </si>
  <si>
    <t xml:space="preserve">…withholding</t>
  </si>
  <si>
    <t xml:space="preserve">Payment 2 — bonus / stay bonus / vacation payout (gross)</t>
  </si>
  <si>
    <t xml:space="preserve">…month paid</t>
  </si>
  <si>
    <t xml:space="preserve">Bonus pay is usually withheld at a flat supplemental rate.</t>
  </si>
  <si>
    <t xml:space="preserve">Unemployment — weekly benefit</t>
  </si>
  <si>
    <t xml:space="preserve">Your state/province sets this. Blank = none.</t>
  </si>
  <si>
    <t xml:space="preserve">Unemployment — weeks</t>
  </si>
  <si>
    <t xml:space="preserve">Unemployment — withholding</t>
  </si>
  <si>
    <t xml:space="preserve">Health insurance after the change — per month (first 12 months)</t>
  </si>
  <si>
    <t xml:space="preserve">COBRA, marketplace plan, partner's plan… Blank = none.</t>
  </si>
  <si>
    <t xml:space="preserve">Health insurance — per month after 12 months</t>
  </si>
  <si>
    <t xml:space="preserve">Blank = same as above.</t>
  </si>
  <si>
    <t xml:space="preserve">Cash on hand (from the Accounts tab)</t>
  </si>
  <si>
    <t xml:space="preserve">Read-only — update balances on Accounts.</t>
  </si>
  <si>
    <t xml:space="preserve">Lists</t>
  </si>
  <si>
    <t xml:space="preserve">Every dropdown in the workbook reads from these columns. Add rows at the bottom of a list and they appear everywhere. Blue = yours to edit.</t>
  </si>
  <si>
    <t xml:space="preserve">Category (master list)</t>
  </si>
  <si>
    <t xml:space="preserve">Group</t>
  </si>
  <si>
    <t xml:space="preserve">Type</t>
  </si>
  <si>
    <t xml:space="preserve">Income types</t>
  </si>
  <si>
    <t xml:space="preserve">Banks &amp; credit unions</t>
  </si>
  <si>
    <t xml:space="preserve">Region</t>
  </si>
  <si>
    <t xml:space="preserve">Card issuers &amp; lenders</t>
  </si>
  <si>
    <t xml:space="preserve">Retirement &amp; brokerage providers</t>
  </si>
  <si>
    <t xml:space="preserve">Account types</t>
  </si>
  <si>
    <t xml:space="preserve">Debt types</t>
  </si>
  <si>
    <t xml:space="preserve">Budget groups</t>
  </si>
  <si>
    <t xml:space="preserve">All institutions (banks + lenders + providers)</t>
  </si>
  <si>
    <t xml:space="preserve">Rent / mortgage</t>
  </si>
  <si>
    <t xml:space="preserve">Housing</t>
  </si>
  <si>
    <t xml:space="preserve">Fixed</t>
  </si>
  <si>
    <t xml:space="preserve">Salary</t>
  </si>
  <si>
    <t xml:space="preserve">— United States —</t>
  </si>
  <si>
    <t xml:space="preserve">US</t>
  </si>
  <si>
    <t xml:space="preserve">American Express</t>
  </si>
  <si>
    <t xml:space="preserve">Fidelity</t>
  </si>
  <si>
    <t xml:space="preserve">Checking</t>
  </si>
  <si>
    <t xml:space="preserve">Credit card</t>
  </si>
  <si>
    <t xml:space="preserve">Weekly</t>
  </si>
  <si>
    <t xml:space="preserve">JPMorgan Chase</t>
  </si>
  <si>
    <t xml:space="preserve">Home / renters insurance</t>
  </si>
  <si>
    <t xml:space="preserve">Hourly wages</t>
  </si>
  <si>
    <t xml:space="preserve">Chase</t>
  </si>
  <si>
    <t xml:space="preserve">Vanguard</t>
  </si>
  <si>
    <t xml:space="preserve">Savings</t>
  </si>
  <si>
    <t xml:space="preserve">Store card</t>
  </si>
  <si>
    <t xml:space="preserve">Utilities</t>
  </si>
  <si>
    <t xml:space="preserve">Bank of America</t>
  </si>
  <si>
    <t xml:space="preserve">Property tax</t>
  </si>
  <si>
    <t xml:space="preserve">Overtime</t>
  </si>
  <si>
    <t xml:space="preserve">Citi</t>
  </si>
  <si>
    <t xml:space="preserve">Charles Schwab</t>
  </si>
  <si>
    <t xml:space="preserve">High-yield savings</t>
  </si>
  <si>
    <t xml:space="preserve">Charge account</t>
  </si>
  <si>
    <t xml:space="preserve">Semi-monthly</t>
  </si>
  <si>
    <t xml:space="preserve">Car &amp; transport</t>
  </si>
  <si>
    <t xml:space="preserve">Wells Fargo</t>
  </si>
  <si>
    <t xml:space="preserve">HOA / condo fees</t>
  </si>
  <si>
    <t xml:space="preserve">Bonus</t>
  </si>
  <si>
    <t xml:space="preserve">Capital One</t>
  </si>
  <si>
    <t xml:space="preserve">Empower</t>
  </si>
  <si>
    <t xml:space="preserve">Money market</t>
  </si>
  <si>
    <t xml:space="preserve">Line of credit</t>
  </si>
  <si>
    <t xml:space="preserve">Monthly</t>
  </si>
  <si>
    <t xml:space="preserve">Food</t>
  </si>
  <si>
    <t xml:space="preserve">Citibank</t>
  </si>
  <si>
    <t xml:space="preserve">Home repairs &amp; maintenance</t>
  </si>
  <si>
    <t xml:space="preserve">Flexible</t>
  </si>
  <si>
    <t xml:space="preserve">Commission</t>
  </si>
  <si>
    <t xml:space="preserve">Discover</t>
  </si>
  <si>
    <t xml:space="preserve">Principal</t>
  </si>
  <si>
    <t xml:space="preserve">CD</t>
  </si>
  <si>
    <t xml:space="preserve">HELOC</t>
  </si>
  <si>
    <t xml:space="preserve">Health</t>
  </si>
  <si>
    <t xml:space="preserve">U.S. Bank</t>
  </si>
  <si>
    <t xml:space="preserve">Furniture &amp; appliances</t>
  </si>
  <si>
    <t xml:space="preserve">Tips</t>
  </si>
  <si>
    <t xml:space="preserve">TIAA</t>
  </si>
  <si>
    <t xml:space="preserve">Cash / wallet</t>
  </si>
  <si>
    <t xml:space="preserve">Personal loan</t>
  </si>
  <si>
    <t xml:space="preserve">Insurance</t>
  </si>
  <si>
    <t xml:space="preserve">PNC</t>
  </si>
  <si>
    <t xml:space="preserve">Lawn / cleaning / services</t>
  </si>
  <si>
    <t xml:space="preserve">Self-employment / 1099</t>
  </si>
  <si>
    <t xml:space="preserve">Voya</t>
  </si>
  <si>
    <t xml:space="preserve">HSA</t>
  </si>
  <si>
    <t xml:space="preserve">Buy-now-pay-later</t>
  </si>
  <si>
    <t xml:space="preserve">Debt</t>
  </si>
  <si>
    <t xml:space="preserve">Truist</t>
  </si>
  <si>
    <t xml:space="preserve">Electric</t>
  </si>
  <si>
    <t xml:space="preserve">Side business</t>
  </si>
  <si>
    <t xml:space="preserve">T. Rowe Price</t>
  </si>
  <si>
    <t xml:space="preserve">FSA</t>
  </si>
  <si>
    <t xml:space="preserve">Auto loan</t>
  </si>
  <si>
    <t xml:space="preserve">Family</t>
  </si>
  <si>
    <t xml:space="preserve">Gas / heating oil</t>
  </si>
  <si>
    <t xml:space="preserve">Rental income</t>
  </si>
  <si>
    <t xml:space="preserve">Barclays</t>
  </si>
  <si>
    <t xml:space="preserve">John Hancock</t>
  </si>
  <si>
    <t xml:space="preserve">Brokerage</t>
  </si>
  <si>
    <t xml:space="preserve">Student loan</t>
  </si>
  <si>
    <t xml:space="preserve">Living</t>
  </si>
  <si>
    <t xml:space="preserve">TD Bank</t>
  </si>
  <si>
    <t xml:space="preserve">Water / sewer</t>
  </si>
  <si>
    <t xml:space="preserve">Partner income</t>
  </si>
  <si>
    <t xml:space="preserve">Synchrony</t>
  </si>
  <si>
    <t xml:space="preserve">ADP Retirement</t>
  </si>
  <si>
    <t xml:space="preserve">401(k) / 403(b) / 457</t>
  </si>
  <si>
    <t xml:space="preserve">Mortgage</t>
  </si>
  <si>
    <t xml:space="preserve">Subscriptions</t>
  </si>
  <si>
    <t xml:space="preserve">Goldman Sachs (Marcus)</t>
  </si>
  <si>
    <t xml:space="preserve">Trash / recycling</t>
  </si>
  <si>
    <t xml:space="preserve">Unemployment</t>
  </si>
  <si>
    <t xml:space="preserve">Comenity / Bread</t>
  </si>
  <si>
    <t xml:space="preserve">Paychex</t>
  </si>
  <si>
    <t xml:space="preserve">Traditional IRA</t>
  </si>
  <si>
    <t xml:space="preserve">Medical debt</t>
  </si>
  <si>
    <t xml:space="preserve">Fun</t>
  </si>
  <si>
    <t xml:space="preserve">Charles Schwab Bank</t>
  </si>
  <si>
    <t xml:space="preserve">Internet</t>
  </si>
  <si>
    <t xml:space="preserve">Severance</t>
  </si>
  <si>
    <t xml:space="preserve">Apple Card (Goldman Sachs)</t>
  </si>
  <si>
    <t xml:space="preserve">Merrill</t>
  </si>
  <si>
    <t xml:space="preserve">Roth IRA</t>
  </si>
  <si>
    <t xml:space="preserve">Tax owed</t>
  </si>
  <si>
    <t xml:space="preserve">Fidelity Cash Management</t>
  </si>
  <si>
    <t xml:space="preserve">Cell phones</t>
  </si>
  <si>
    <t xml:space="preserve">Retention / stay bonus</t>
  </si>
  <si>
    <t xml:space="preserve">PayPal Credit</t>
  </si>
  <si>
    <t xml:space="preserve">Morgan Stanley</t>
  </si>
  <si>
    <t xml:space="preserve">TSP</t>
  </si>
  <si>
    <t xml:space="preserve">Family loan</t>
  </si>
  <si>
    <t xml:space="preserve">Taxes</t>
  </si>
  <si>
    <t xml:space="preserve">Citizens</t>
  </si>
  <si>
    <t xml:space="preserve">Cable / TV</t>
  </si>
  <si>
    <t xml:space="preserve">Social Security</t>
  </si>
  <si>
    <t xml:space="preserve">Affirm</t>
  </si>
  <si>
    <t xml:space="preserve">Edward Jones</t>
  </si>
  <si>
    <t xml:space="preserve">Pension</t>
  </si>
  <si>
    <t xml:space="preserve">Financing (0% / deferred)</t>
  </si>
  <si>
    <t xml:space="preserve">Business</t>
  </si>
  <si>
    <t xml:space="preserve">Fifth Third</t>
  </si>
  <si>
    <t xml:space="preserve">Car payment</t>
  </si>
  <si>
    <t xml:space="preserve">Klarna</t>
  </si>
  <si>
    <t xml:space="preserve">E*TRADE</t>
  </si>
  <si>
    <t xml:space="preserve">529 college</t>
  </si>
  <si>
    <t xml:space="preserve">Other</t>
  </si>
  <si>
    <t xml:space="preserve">KeyBank</t>
  </si>
  <si>
    <t xml:space="preserve">Car insurance</t>
  </si>
  <si>
    <t xml:space="preserve">Disability</t>
  </si>
  <si>
    <t xml:space="preserve">Afterpay</t>
  </si>
  <si>
    <t xml:space="preserve">Robinhood</t>
  </si>
  <si>
    <t xml:space="preserve">Crypto</t>
  </si>
  <si>
    <t xml:space="preserve">Regions</t>
  </si>
  <si>
    <t xml:space="preserve">Fuel</t>
  </si>
  <si>
    <t xml:space="preserve">Child support / alimony</t>
  </si>
  <si>
    <t xml:space="preserve">Upstart</t>
  </si>
  <si>
    <t xml:space="preserve">Betterment</t>
  </si>
  <si>
    <t xml:space="preserve">Huntington</t>
  </si>
  <si>
    <t xml:space="preserve">Car maintenance &amp; repairs</t>
  </si>
  <si>
    <t xml:space="preserve">Investment / dividends</t>
  </si>
  <si>
    <t xml:space="preserve">LendingClub</t>
  </si>
  <si>
    <t xml:space="preserve">Wealthfront</t>
  </si>
  <si>
    <t xml:space="preserve">M&amp;T Bank</t>
  </si>
  <si>
    <t xml:space="preserve">Registration / inspection / tax</t>
  </si>
  <si>
    <t xml:space="preserve">Gift</t>
  </si>
  <si>
    <t xml:space="preserve">SoFi</t>
  </si>
  <si>
    <t xml:space="preserve">Acorns</t>
  </si>
  <si>
    <t xml:space="preserve">Ally Bank</t>
  </si>
  <si>
    <t xml:space="preserve">Parking &amp; tolls</t>
  </si>
  <si>
    <t xml:space="preserve">Tax refund</t>
  </si>
  <si>
    <t xml:space="preserve">Best Egg</t>
  </si>
  <si>
    <t xml:space="preserve">Nationwide</t>
  </si>
  <si>
    <t xml:space="preserve">Discover Bank</t>
  </si>
  <si>
    <t xml:space="preserve">Public transit / rideshare</t>
  </si>
  <si>
    <t xml:space="preserve">Avant</t>
  </si>
  <si>
    <t xml:space="preserve">Transamerica</t>
  </si>
  <si>
    <t xml:space="preserve">Groceries &amp; household</t>
  </si>
  <si>
    <t xml:space="preserve">OneMain</t>
  </si>
  <si>
    <t xml:space="preserve">MassMutual</t>
  </si>
  <si>
    <t xml:space="preserve">Dining out</t>
  </si>
  <si>
    <t xml:space="preserve">Navient</t>
  </si>
  <si>
    <t xml:space="preserve">Lincoln Financial</t>
  </si>
  <si>
    <t xml:space="preserve">Synchrony Bank</t>
  </si>
  <si>
    <t xml:space="preserve">Coffee / takeout / delivery</t>
  </si>
  <si>
    <t xml:space="preserve">Nelnet</t>
  </si>
  <si>
    <t xml:space="preserve">Prudential</t>
  </si>
  <si>
    <t xml:space="preserve">USAA</t>
  </si>
  <si>
    <t xml:space="preserve">Alcohol &amp; tobacco</t>
  </si>
  <si>
    <t xml:space="preserve">Mohela</t>
  </si>
  <si>
    <t xml:space="preserve">Thrift Savings Plan (TSP)</t>
  </si>
  <si>
    <t xml:space="preserve">Navy Federal CU</t>
  </si>
  <si>
    <t xml:space="preserve">Health insurance premium</t>
  </si>
  <si>
    <t xml:space="preserve">Aidvantage</t>
  </si>
  <si>
    <t xml:space="preserve">Guideline</t>
  </si>
  <si>
    <t xml:space="preserve">PenFed CU</t>
  </si>
  <si>
    <t xml:space="preserve">Doctor &amp; dental</t>
  </si>
  <si>
    <t xml:space="preserve">Sallie Mae</t>
  </si>
  <si>
    <t xml:space="preserve">Human Interest</t>
  </si>
  <si>
    <t xml:space="preserve">State Employees' CU (NC)</t>
  </si>
  <si>
    <t xml:space="preserve">Vision</t>
  </si>
  <si>
    <t xml:space="preserve">Earnest</t>
  </si>
  <si>
    <t xml:space="preserve">Ascensus</t>
  </si>
  <si>
    <t xml:space="preserve">BECU</t>
  </si>
  <si>
    <t xml:space="preserve">Prescriptions</t>
  </si>
  <si>
    <t xml:space="preserve">Toyota Financial</t>
  </si>
  <si>
    <t xml:space="preserve">Alliant CU</t>
  </si>
  <si>
    <t xml:space="preserve">Gym / fitness</t>
  </si>
  <si>
    <t xml:space="preserve">Honda Financial</t>
  </si>
  <si>
    <t xml:space="preserve">Golden 1 CU</t>
  </si>
  <si>
    <t xml:space="preserve">Therapy / counseling</t>
  </si>
  <si>
    <t xml:space="preserve">Ford Credit</t>
  </si>
  <si>
    <t xml:space="preserve">First Citizens</t>
  </si>
  <si>
    <t xml:space="preserve">HSA / FSA contribution</t>
  </si>
  <si>
    <t xml:space="preserve">GM Financial</t>
  </si>
  <si>
    <t xml:space="preserve">BMO (US)</t>
  </si>
  <si>
    <t xml:space="preserve">Life insurance</t>
  </si>
  <si>
    <t xml:space="preserve">Ally Auto</t>
  </si>
  <si>
    <t xml:space="preserve">Santander (US)</t>
  </si>
  <si>
    <t xml:space="preserve">Disability / umbrella insurance</t>
  </si>
  <si>
    <t xml:space="preserve">Credit union auto loan</t>
  </si>
  <si>
    <t xml:space="preserve">Comerica</t>
  </si>
  <si>
    <t xml:space="preserve">Credit-card payment</t>
  </si>
  <si>
    <t xml:space="preserve">Rocket Mortgage</t>
  </si>
  <si>
    <t xml:space="preserve">Zions</t>
  </si>
  <si>
    <t xml:space="preserve">Mr. Cooper</t>
  </si>
  <si>
    <t xml:space="preserve">First Horizon</t>
  </si>
  <si>
    <t xml:space="preserve">Freedom Mortgage</t>
  </si>
  <si>
    <t xml:space="preserve">Chime</t>
  </si>
  <si>
    <t xml:space="preserve">PennyMac</t>
  </si>
  <si>
    <t xml:space="preserve">Varo</t>
  </si>
  <si>
    <t xml:space="preserve">Medical debt payment</t>
  </si>
  <si>
    <t xml:space="preserve">Wells Fargo Home Mortgage</t>
  </si>
  <si>
    <t xml:space="preserve">Local bank</t>
  </si>
  <si>
    <t xml:space="preserve">Childcare / daycare</t>
  </si>
  <si>
    <t xml:space="preserve">Chase Home Lending</t>
  </si>
  <si>
    <t xml:space="preserve">Local credit union</t>
  </si>
  <si>
    <t xml:space="preserve">School tuition &amp; fees</t>
  </si>
  <si>
    <t xml:space="preserve">ServiSolutions</t>
  </si>
  <si>
    <t xml:space="preserve">RBC Royal Bank</t>
  </si>
  <si>
    <t xml:space="preserve">Kids activities &amp; sports</t>
  </si>
  <si>
    <t xml:space="preserve">— Canada —</t>
  </si>
  <si>
    <t xml:space="preserve">CA</t>
  </si>
  <si>
    <t xml:space="preserve">Local bank / credit union</t>
  </si>
  <si>
    <t xml:space="preserve">TD Canada Trust</t>
  </si>
  <si>
    <t xml:space="preserve">Family / friend</t>
  </si>
  <si>
    <t xml:space="preserve">Scotiabank</t>
  </si>
  <si>
    <t xml:space="preserve">Family support (sent abroad)</t>
  </si>
  <si>
    <t xml:space="preserve">BMO Bank of Montreal</t>
  </si>
  <si>
    <t xml:space="preserve">Elder care / parents</t>
  </si>
  <si>
    <t xml:space="preserve">CIBC</t>
  </si>
  <si>
    <t xml:space="preserve">Allowance</t>
  </si>
  <si>
    <t xml:space="preserve">National Bank of Canada</t>
  </si>
  <si>
    <t xml:space="preserve">Clothing &amp; shoes</t>
  </si>
  <si>
    <t xml:space="preserve">Desjardins</t>
  </si>
  <si>
    <t xml:space="preserve">Hair &amp; personal care</t>
  </si>
  <si>
    <t xml:space="preserve">Tangerine</t>
  </si>
  <si>
    <t xml:space="preserve">Laundry / dry cleaning</t>
  </si>
  <si>
    <t xml:space="preserve">EQ Bank</t>
  </si>
  <si>
    <t xml:space="preserve">Pets</t>
  </si>
  <si>
    <t xml:space="preserve">Gifts</t>
  </si>
  <si>
    <t xml:space="preserve">HSBC UK</t>
  </si>
  <si>
    <t xml:space="preserve">Charity &amp; giving</t>
  </si>
  <si>
    <t xml:space="preserve">— United Kingdom —</t>
  </si>
  <si>
    <t xml:space="preserve">UK</t>
  </si>
  <si>
    <t xml:space="preserve">Lloyds</t>
  </si>
  <si>
    <t xml:space="preserve">Education / courses / books</t>
  </si>
  <si>
    <t xml:space="preserve">NatWest</t>
  </si>
  <si>
    <t xml:space="preserve">Streaming (Netflix, Spotify…)</t>
  </si>
  <si>
    <t xml:space="preserve">Santander UK</t>
  </si>
  <si>
    <t xml:space="preserve">Software &amp; apps</t>
  </si>
  <si>
    <t xml:space="preserve">Cloud storage</t>
  </si>
  <si>
    <t xml:space="preserve">Halifax</t>
  </si>
  <si>
    <t xml:space="preserve">News &amp; memberships</t>
  </si>
  <si>
    <t xml:space="preserve">TSB</t>
  </si>
  <si>
    <t xml:space="preserve">Amazon Prime / Costco</t>
  </si>
  <si>
    <t xml:space="preserve">Monzo</t>
  </si>
  <si>
    <t xml:space="preserve">Entertainment &amp; hobbies</t>
  </si>
  <si>
    <t xml:space="preserve">Starling</t>
  </si>
  <si>
    <t xml:space="preserve">Travel &amp; vacation</t>
  </si>
  <si>
    <t xml:space="preserve">Revolut</t>
  </si>
  <si>
    <t xml:space="preserve">Casino / lottery / gaming</t>
  </si>
  <si>
    <t xml:space="preserve">BNP Paribas</t>
  </si>
  <si>
    <t xml:space="preserve">Sports &amp; outdoors</t>
  </si>
  <si>
    <t xml:space="preserve">Crédit Agricole</t>
  </si>
  <si>
    <t xml:space="preserve">Emergency fund</t>
  </si>
  <si>
    <t xml:space="preserve">Société Générale</t>
  </si>
  <si>
    <t xml:space="preserve">Retirement contribution</t>
  </si>
  <si>
    <t xml:space="preserve">— Europe —</t>
  </si>
  <si>
    <t xml:space="preserve">EU</t>
  </si>
  <si>
    <t xml:space="preserve">Deutsche Bank</t>
  </si>
  <si>
    <t xml:space="preserve">Brokerage / investing</t>
  </si>
  <si>
    <t xml:space="preserve">Commerzbank</t>
  </si>
  <si>
    <t xml:space="preserve">College savings (529)</t>
  </si>
  <si>
    <t xml:space="preserve">ING</t>
  </si>
  <si>
    <t xml:space="preserve">Big-purchase savings</t>
  </si>
  <si>
    <t xml:space="preserve">ABN AMRO</t>
  </si>
  <si>
    <t xml:space="preserve">Income tax / estimated tax</t>
  </si>
  <si>
    <t xml:space="preserve">Rabobank</t>
  </si>
  <si>
    <t xml:space="preserve">Tax prep</t>
  </si>
  <si>
    <t xml:space="preserve">UBS</t>
  </si>
  <si>
    <t xml:space="preserve">Business expenses</t>
  </si>
  <si>
    <t xml:space="preserve">Santander (Spain)</t>
  </si>
  <si>
    <t xml:space="preserve">Professional dues / licenses</t>
  </si>
  <si>
    <t xml:space="preserve">BBVA</t>
  </si>
  <si>
    <t xml:space="preserve">Bank fees &amp; interest</t>
  </si>
  <si>
    <t xml:space="preserve">CaixaBank</t>
  </si>
  <si>
    <t xml:space="preserve">ATM / cash</t>
  </si>
  <si>
    <t xml:space="preserve">UniCredit</t>
  </si>
  <si>
    <t xml:space="preserve">Unplanned / other</t>
  </si>
  <si>
    <t xml:space="preserve">Intesa Sanpaolo</t>
  </si>
  <si>
    <t xml:space="preserve">KBC</t>
  </si>
  <si>
    <t xml:space="preserve">Nordea</t>
  </si>
  <si>
    <t xml:space="preserve">Danske Bank</t>
  </si>
  <si>
    <t xml:space="preserve">SEB</t>
  </si>
  <si>
    <t xml:space="preserve">Swedbank</t>
  </si>
  <si>
    <t xml:space="preserve">DNB</t>
  </si>
  <si>
    <t xml:space="preserve">Bank of Ireland</t>
  </si>
  <si>
    <t xml:space="preserve">AIB</t>
  </si>
  <si>
    <t xml:space="preserve">Erste Group</t>
  </si>
  <si>
    <t xml:space="preserve">Raiffeisen</t>
  </si>
  <si>
    <t xml:space="preserve">PKO Bank Polski</t>
  </si>
  <si>
    <t xml:space="preserve">N26</t>
  </si>
  <si>
    <t xml:space="preserve">Bunq</t>
  </si>
  <si>
    <t xml:space="preserve">BBVA México</t>
  </si>
  <si>
    <t xml:space="preserve">Banorte</t>
  </si>
  <si>
    <t xml:space="preserve">Santander México</t>
  </si>
  <si>
    <t xml:space="preserve">Citibanamex</t>
  </si>
  <si>
    <t xml:space="preserve">— Mexico —</t>
  </si>
  <si>
    <t xml:space="preserve">MX</t>
  </si>
  <si>
    <t xml:space="preserve">HSBC México</t>
  </si>
  <si>
    <t xml:space="preserve">Scotiabank México</t>
  </si>
  <si>
    <t xml:space="preserve">Banco Azteca</t>
  </si>
  <si>
    <t xml:space="preserve">Inbursa</t>
  </si>
  <si>
    <t xml:space="preserve">Nu México</t>
  </si>
  <si>
    <t xml:space="preserve">Itaú</t>
  </si>
  <si>
    <t xml:space="preserve">Bradesco</t>
  </si>
  <si>
    <t xml:space="preserve">Banco do Brasil</t>
  </si>
  <si>
    <t xml:space="preserve">Caixa Econômica</t>
  </si>
  <si>
    <t xml:space="preserve">Santander Brasil</t>
  </si>
  <si>
    <t xml:space="preserve">— Central &amp; South America —</t>
  </si>
  <si>
    <t xml:space="preserve">LATAM</t>
  </si>
  <si>
    <t xml:space="preserve">Nubank</t>
  </si>
  <si>
    <t xml:space="preserve">Banco de Chile</t>
  </si>
  <si>
    <t xml:space="preserve">BancoEstado</t>
  </si>
  <si>
    <t xml:space="preserve">Santander Chile</t>
  </si>
  <si>
    <t xml:space="preserve">Bancolombia</t>
  </si>
  <si>
    <t xml:space="preserve">Davivienda</t>
  </si>
  <si>
    <t xml:space="preserve">Banco de Bogotá</t>
  </si>
  <si>
    <t xml:space="preserve">BCP (Peru)</t>
  </si>
  <si>
    <t xml:space="preserve">BBVA Perú</t>
  </si>
  <si>
    <t xml:space="preserve">Interbank</t>
  </si>
  <si>
    <t xml:space="preserve">Banco Galicia</t>
  </si>
  <si>
    <t xml:space="preserve">Banco Nación</t>
  </si>
  <si>
    <t xml:space="preserve">Santander Río</t>
  </si>
  <si>
    <t xml:space="preserve">Banco Pichincha</t>
  </si>
  <si>
    <t xml:space="preserve">BROU (Uruguay)</t>
  </si>
  <si>
    <t xml:space="preserve">Banco General (Panama)</t>
  </si>
  <si>
    <t xml:space="preserve">BAC Credomatic</t>
  </si>
  <si>
    <t xml:space="preserve">Banrural</t>
  </si>
  <si>
    <t xml:space="preserve">Bangkok Bank</t>
  </si>
  <si>
    <t xml:space="preserve">Kasikornbank</t>
  </si>
  <si>
    <t xml:space="preserve">Siam Commercial Bank</t>
  </si>
  <si>
    <t xml:space="preserve">Krungsri</t>
  </si>
  <si>
    <t xml:space="preserve">Krungthai</t>
  </si>
  <si>
    <t xml:space="preserve">BDO</t>
  </si>
  <si>
    <t xml:space="preserve">— Asia —</t>
  </si>
  <si>
    <t xml:space="preserve">ASIA</t>
  </si>
  <si>
    <t xml:space="preserve">BPI</t>
  </si>
  <si>
    <t xml:space="preserve">Metrobank</t>
  </si>
  <si>
    <t xml:space="preserve">State Bank of India</t>
  </si>
  <si>
    <t xml:space="preserve">HDFC</t>
  </si>
  <si>
    <t xml:space="preserve">ICICI</t>
  </si>
  <si>
    <t xml:space="preserve">Vietcombank</t>
  </si>
  <si>
    <t xml:space="preserve">DBS</t>
  </si>
  <si>
    <t xml:space="preserve">OCBC</t>
  </si>
  <si>
    <t xml:space="preserve">Maybank</t>
  </si>
  <si>
    <t xml:space="preserve">MUFG</t>
  </si>
  <si>
    <t xml:space="preserve">Shinhan</t>
  </si>
  <si>
    <t xml:space="preserve">ICBC</t>
  </si>
  <si>
    <t xml:space="preserve">Wise</t>
  </si>
  <si>
    <t xml:space="preserve">Remitly</t>
  </si>
  <si>
    <t xml:space="preserve">Western Union</t>
  </si>
  <si>
    <t xml:space="preserve">MoneyGram</t>
  </si>
  <si>
    <t xml:space="preserve">Xoom (PayPal)</t>
  </si>
  <si>
    <t xml:space="preserve">PayPal</t>
  </si>
  <si>
    <t xml:space="preserve">Venmo</t>
  </si>
  <si>
    <t xml:space="preserve">— Remittance / wallets —</t>
  </si>
  <si>
    <t xml:space="preserve">RMT</t>
  </si>
  <si>
    <t xml:space="preserve">Cash App</t>
  </si>
  <si>
    <t xml:space="preserve">Zelle</t>
  </si>
  <si>
    <t xml:space="preserve">Apple Cash</t>
  </si>
  <si>
    <t xml:space="preserve">—</t>
  </si>
  <si>
    <t xml:space="preserve">Inputs &amp; Assumptions</t>
  </si>
  <si>
    <t xml:space="preserve">Most of this page is fed by Setup. Blue = you can change it here.  Black = formula.  Green = from another tab.  Yellow = check.</t>
  </si>
  <si>
    <t xml:space="preserve">TIMELINE</t>
  </si>
  <si>
    <t xml:space="preserve">From Setup.</t>
  </si>
  <si>
    <t xml:space="preserve">Income change date</t>
  </si>
  <si>
    <t xml:space="preserve">From Setup. Blank there = no change (treated as 20 years out).</t>
  </si>
  <si>
    <t xml:space="preserve">Count partner's cash in household cash?</t>
  </si>
  <si>
    <t xml:space="preserve">Household cash today</t>
  </si>
  <si>
    <t xml:space="preserve">Pulled from the Accounts tab.</t>
  </si>
  <si>
    <t xml:space="preserve">Today</t>
  </si>
  <si>
    <t xml:space="preserve">Days until the income change</t>
  </si>
  <si>
    <t xml:space="preserve">PAY NOW</t>
  </si>
  <si>
    <t xml:space="preserve">Gross pay per paycheck (optional)</t>
  </si>
  <si>
    <t xml:space="preserve">For reference only.</t>
  </si>
  <si>
    <t xml:space="preserve">Average monthly take-home</t>
  </si>
  <si>
    <t xml:space="preserve">Bonus / supplemental pay withholding</t>
  </si>
  <si>
    <t xml:space="preserve">TRANSITION MONEY (only if income is changing)</t>
  </si>
  <si>
    <t xml:space="preserve">Payment 2 — bonus / payout (gross)</t>
  </si>
  <si>
    <t xml:space="preserve">Month payment 2 is paid</t>
  </si>
  <si>
    <t xml:space="preserve">Blank on Setup = month after the change.</t>
  </si>
  <si>
    <t xml:space="preserve">Payment 2 — take-home</t>
  </si>
  <si>
    <t xml:space="preserve">Payment 1 — severance / payout (gross)</t>
  </si>
  <si>
    <t xml:space="preserve">Payment 1 withholding</t>
  </si>
  <si>
    <t xml:space="preserve">First month of payment 1</t>
  </si>
  <si>
    <t xml:space="preserve">Payment 1 paid over (months)</t>
  </si>
  <si>
    <t xml:space="preserve">Payment 1 — take-home</t>
  </si>
  <si>
    <t xml:space="preserve">Unemployment withholding</t>
  </si>
  <si>
    <t xml:space="preserve">First month of unemployment</t>
  </si>
  <si>
    <t xml:space="preserve">Assumed to start after payment 1 ends (many states reduce benefits during severance). Change if yours differs.</t>
  </si>
  <si>
    <t xml:space="preserve">Unemployment — take-home per month</t>
  </si>
  <si>
    <t xml:space="preserve">HEALTH INSURANCE AFTER THE CHANGE</t>
  </si>
  <si>
    <t xml:space="preserve">Plan name (optional)</t>
  </si>
  <si>
    <t xml:space="preserve">COBRA, marketplace, partner's plan…</t>
  </si>
  <si>
    <t xml:space="preserve">Medical — per month</t>
  </si>
  <si>
    <t xml:space="preserve">Dental — per month</t>
  </si>
  <si>
    <t xml:space="preserve">Add here if separate.</t>
  </si>
  <si>
    <t xml:space="preserve">Vision — per month</t>
  </si>
  <si>
    <t xml:space="preserve">Admin fee (COBRA adds 2%)</t>
  </si>
  <si>
    <t xml:space="preserve">Health insurance per month — months 1–12</t>
  </si>
  <si>
    <t xml:space="preserve">Stops when new income starts (assumes new coverage).</t>
  </si>
  <si>
    <t xml:space="preserve">Health insurance per month — months 13–18</t>
  </si>
  <si>
    <t xml:space="preserve">PARTNER INCOME</t>
  </si>
  <si>
    <t xml:space="preserve">Partner take-home per month (now)</t>
  </si>
  <si>
    <t xml:space="preserve">Partner's current income ends (optional)</t>
  </si>
  <si>
    <t xml:space="preserve">Blank = continues through the plan.</t>
  </si>
  <si>
    <t xml:space="preserve">Partner second income per month (optional)</t>
  </si>
  <si>
    <t xml:space="preserve">Second income pauses from (optional)</t>
  </si>
  <si>
    <t xml:space="preserve">Second income resumes (optional)</t>
  </si>
  <si>
    <t xml:space="preserve">Partner new job — hourly pay (scenarios)</t>
  </si>
  <si>
    <t xml:space="preserve">Used with the hours per week in the scenario table.</t>
  </si>
  <si>
    <t xml:space="preserve">Partner new job — take-home %</t>
  </si>
  <si>
    <t xml:space="preserve">BIG PLANNED EXPENSE (trip, move, wedding, tuition…)</t>
  </si>
  <si>
    <t xml:space="preserve">Total cost</t>
  </si>
  <si>
    <t xml:space="preserve">Sum of the lines at the bottom of the One-Time tab. Spread across months by the % row on the Forecast.</t>
  </si>
  <si>
    <t xml:space="preserve">Home spending during those months (% of normal)</t>
  </si>
  <si>
    <t xml:space="preserve">Travelling for weeks? Set to 30–50%.</t>
  </si>
  <si>
    <t xml:space="preserve">SAFETY TARGET</t>
  </si>
  <si>
    <t xml:space="preserve">Savings goal (cash set aside)</t>
  </si>
  <si>
    <t xml:space="preserve">SCENARIOS (after the income change)</t>
  </si>
  <si>
    <t xml:space="preserve">New income starts (months after the change; 0 = none in 12 months)</t>
  </si>
  <si>
    <t xml:space="preserve">Month 1 = the month after the change date.</t>
  </si>
  <si>
    <t xml:space="preserve">New income (gross per year)</t>
  </si>
  <si>
    <t xml:space="preserve">Blank = none.</t>
  </si>
  <si>
    <t xml:space="preserve">New income take-home % of gross</t>
  </si>
  <si>
    <t xml:space="preserve">Partner new job starts (month)</t>
  </si>
  <si>
    <t xml:space="preserve">Partner new job — hours per week</t>
  </si>
  <si>
    <t xml:space="preserve">Spending level after the change</t>
  </si>
  <si>
    <t xml:space="preserve">Current</t>
  </si>
  <si>
    <t xml:space="preserve">Trimmed</t>
  </si>
  <si>
    <t xml:space="preserve">Lean</t>
  </si>
  <si>
    <t xml:space="preserve">See Budget tab.</t>
  </si>
  <si>
    <t xml:space="preserve">Spending level (number)</t>
  </si>
  <si>
    <t xml:space="preserve">Big-expense overrun</t>
  </si>
  <si>
    <t xml:space="preserve">Worst case spends 15% more.</t>
  </si>
  <si>
    <t xml:space="preserve">CREDIT STRATEGY (optional)</t>
  </si>
  <si>
    <t xml:space="preserve">0% balance-transfer card — month opened</t>
  </si>
  <si>
    <t xml:space="preserve">If you plan to move balances to a 0% card.</t>
  </si>
  <si>
    <t xml:space="preserve">Balance-transfer fee</t>
  </si>
  <si>
    <t xml:space="preserve">Typical 3–5%.</t>
  </si>
  <si>
    <t xml:space="preserve">Month the balance moves</t>
  </si>
  <si>
    <t xml:space="preserve">0% period ends</t>
  </si>
  <si>
    <t xml:space="preserve">Assumes 15 months; edit if yours differs.</t>
  </si>
  <si>
    <t xml:space="preserve">Standby line of credit — limit</t>
  </si>
  <si>
    <t xml:space="preserve">Standby only. Never counted as income.</t>
  </si>
  <si>
    <t xml:space="preserve">Monthly Budget</t>
  </si>
  <si>
    <t xml:space="preserve">TOTAL / MONTH</t>
  </si>
  <si>
    <t xml:space="preserve">FIXED</t>
  </si>
  <si>
    <t xml:space="preserve">FLEXIBLE</t>
  </si>
  <si>
    <t xml:space="preserve">SPENT SO FAR THIS MONTH</t>
  </si>
  <si>
    <t xml:space="preserve">Bill / category</t>
  </si>
  <si>
    <t xml:space="preserve">Due day</t>
  </si>
  <si>
    <t xml:space="preserve">Current (home)</t>
  </si>
  <si>
    <t xml:space="preserve">Trimmed (home)</t>
  </si>
  <si>
    <t xml:space="preserve">Lean (home)</t>
  </si>
  <si>
    <t xml:space="preserve">This month</t>
  </si>
  <si>
    <t xml:space="preserve">vs budget</t>
  </si>
  <si>
    <t xml:space="preserve">Annual</t>
  </si>
  <si>
    <t xml:space="preserve">% of pay</t>
  </si>
  <si>
    <t xml:space="preserve">BY GROUP (home currency)</t>
  </si>
  <si>
    <t xml:space="preserve">ID</t>
  </si>
  <si>
    <t xml:space="preserve">Include escrow if your lender collects tax &amp; insurance.</t>
  </si>
  <si>
    <t xml:space="preserve">% of total</t>
  </si>
  <si>
    <t xml:space="preserve">BUD-01</t>
  </si>
  <si>
    <t xml:space="preserve">Monthly amount even if you pay yearly.</t>
  </si>
  <si>
    <t xml:space="preserve">BUD-02</t>
  </si>
  <si>
    <t xml:space="preserve">Yearly bill ÷ 12 if not in escrow.</t>
  </si>
  <si>
    <t xml:space="preserve">BUD-03</t>
  </si>
  <si>
    <t xml:space="preserve">Use a 12-month average.</t>
  </si>
  <si>
    <t xml:space="preserve">BUD-04</t>
  </si>
  <si>
    <t xml:space="preserve">BUD-05</t>
  </si>
  <si>
    <t xml:space="preserve">BUD-06</t>
  </si>
  <si>
    <t xml:space="preserve">BUD-07</t>
  </si>
  <si>
    <t xml:space="preserve">BUD-08</t>
  </si>
  <si>
    <t xml:space="preserve">BUD-09</t>
  </si>
  <si>
    <t xml:space="preserve">Add them up — it's usually more than you think.</t>
  </si>
  <si>
    <t xml:space="preserve">BUD-10</t>
  </si>
  <si>
    <t xml:space="preserve">BUD-11</t>
  </si>
  <si>
    <t xml:space="preserve">BUD-12</t>
  </si>
  <si>
    <t xml:space="preserve">BUD-13</t>
  </si>
  <si>
    <t xml:space="preserve">BUD-14</t>
  </si>
  <si>
    <t xml:space="preserve">BUD-15</t>
  </si>
  <si>
    <t xml:space="preserve">BUD-16</t>
  </si>
  <si>
    <t xml:space="preserve">TOTAL</t>
  </si>
  <si>
    <t xml:space="preserve">BUD-17</t>
  </si>
  <si>
    <t xml:space="preserve">Only if it's not already taken out of your paycheck.</t>
  </si>
  <si>
    <t xml:space="preserve">BUD-18</t>
  </si>
  <si>
    <t xml:space="preserve">CASH NEEDED BY ACCOUNT (Current, home currency)</t>
  </si>
  <si>
    <t xml:space="preserve">BUD-19</t>
  </si>
  <si>
    <t xml:space="preserve">Due 1st–14th</t>
  </si>
  <si>
    <t xml:space="preserve">Due 15th–31st</t>
  </si>
  <si>
    <t xml:space="preserve">Month</t>
  </si>
  <si>
    <t xml:space="preserve">BUD-20</t>
  </si>
  <si>
    <t xml:space="preserve">BUD-21</t>
  </si>
  <si>
    <t xml:space="preserve">BUD-22</t>
  </si>
  <si>
    <t xml:space="preserve">Type it in the currency you send and pick the code — e.g. 15000 + THB.</t>
  </si>
  <si>
    <t xml:space="preserve">BUD-23</t>
  </si>
  <si>
    <t xml:space="preserve">BUD-24</t>
  </si>
  <si>
    <t xml:space="preserve">BUD-25</t>
  </si>
  <si>
    <t xml:space="preserve">BUD-26</t>
  </si>
  <si>
    <t xml:space="preserve">BUD-27</t>
  </si>
  <si>
    <t xml:space="preserve">Minimums only — extra payoff goes on the Debts &amp; Credit schedule.</t>
  </si>
  <si>
    <t xml:space="preserve">Keep this much in each account before the 1st and the 15th. Rows = the first six accounts on the Accounts tab.</t>
  </si>
  <si>
    <t xml:space="preserve">BUD-28</t>
  </si>
  <si>
    <t xml:space="preserve">BUD-29</t>
  </si>
  <si>
    <t xml:space="preserve">Copays, small repairs, the stuff that always comes up.</t>
  </si>
  <si>
    <t xml:space="preserve">DUE-DATE CALENDAR</t>
  </si>
  <si>
    <t xml:space="preserve">BUD-30</t>
  </si>
  <si>
    <t xml:space="preserve">Day</t>
  </si>
  <si>
    <t xml:space="preserve">Bills due</t>
  </si>
  <si>
    <t xml:space="preserve">Running</t>
  </si>
  <si>
    <t xml:space="preserve">Fixed bills total (home currency)</t>
  </si>
  <si>
    <t xml:space="preserve">1–4</t>
  </si>
  <si>
    <t xml:space="preserve">Flexible spending total (home currency)</t>
  </si>
  <si>
    <t xml:space="preserve">5–9</t>
  </si>
  <si>
    <t xml:space="preserve">TOTAL per month (home currency)</t>
  </si>
  <si>
    <t xml:space="preserve">10–14</t>
  </si>
  <si>
    <t xml:space="preserve">Not included: health insurance after a change (Inputs), the big planned expense (Inputs), one-time items (One-Time tab), extra debt payoff (Debts &amp; Credit).</t>
  </si>
  <si>
    <t xml:space="preserve">15</t>
  </si>
  <si>
    <t xml:space="preserve">To add a bill: use a blank row (35–34) — pick a name from the dropdown or type your own, Fixed/Flexible, 3 amounts, due day, paid from, group. It shows up in the Expense Log category list automatically.</t>
  </si>
  <si>
    <t xml:space="preserve">16–19</t>
  </si>
  <si>
    <t xml:space="preserve">20–24</t>
  </si>
  <si>
    <t xml:space="preserve">25–27</t>
  </si>
  <si>
    <t xml:space="preserve">28–31</t>
  </si>
  <si>
    <t xml:space="preserve">One-Time Money — Expenses &amp; Income</t>
  </si>
  <si>
    <t xml:space="preserve">Anything that doesn't happen every month. Put the month it hits in column D (any day in that month is fine). Type the amount in its own currency; F converts to home. The Forecast picks these up by month.</t>
  </si>
  <si>
    <t xml:space="preserve">Item</t>
  </si>
  <si>
    <t xml:space="preserve">Kind</t>
  </si>
  <si>
    <t xml:space="preserve">Amount (net)</t>
  </si>
  <si>
    <t xml:space="preserve">Amount (home)</t>
  </si>
  <si>
    <t xml:space="preserve">Car registration / inspection</t>
  </si>
  <si>
    <t xml:space="preserve">Expense</t>
  </si>
  <si>
    <t xml:space="preserve">Once a year.</t>
  </si>
  <si>
    <t xml:space="preserve">Annual insurance premium</t>
  </si>
  <si>
    <t xml:space="preserve">If you pay yearly instead of monthly.</t>
  </si>
  <si>
    <t xml:space="preserve">Car maintenance / tires</t>
  </si>
  <si>
    <t xml:space="preserve">Home repair</t>
  </si>
  <si>
    <t xml:space="preserve">Holiday gifts</t>
  </si>
  <si>
    <t xml:space="preserve">Vacation / travel</t>
  </si>
  <si>
    <t xml:space="preserve">Tuition / school fees</t>
  </si>
  <si>
    <t xml:space="preserve">Medical / dental procedure</t>
  </si>
  <si>
    <t xml:space="preserve">Tax bill</t>
  </si>
  <si>
    <t xml:space="preserve">Moving costs</t>
  </si>
  <si>
    <t xml:space="preserve">Usually 3–5% of the amount moved (Inputs row 73).</t>
  </si>
  <si>
    <t xml:space="preserve">Income</t>
  </si>
  <si>
    <t xml:space="preserve">Bonus (net)</t>
  </si>
  <si>
    <t xml:space="preserve">After withholding.</t>
  </si>
  <si>
    <t xml:space="preserve">Side income / sale</t>
  </si>
  <si>
    <t xml:space="preserve">Gift / inheritance</t>
  </si>
  <si>
    <t xml:space="preserve">Bank sign-up bonus</t>
  </si>
  <si>
    <t xml:space="preserve">Taxable.</t>
  </si>
  <si>
    <t xml:space="preserve">BIG PLANNED EXPENSE — trip, move, wedding… (spread across months by the % row on the Forecast tab)</t>
  </si>
  <si>
    <t xml:space="preserve">Travel / flights</t>
  </si>
  <si>
    <t xml:space="preserve">Round trip, baggage, visas.</t>
  </si>
  <si>
    <t xml:space="preserve">Lodging &amp; daily spending</t>
  </si>
  <si>
    <t xml:space="preserve">Days × daily budget.</t>
  </si>
  <si>
    <t xml:space="preserve">Total (home currency)</t>
  </si>
  <si>
    <t xml:space="preserve">CARDS OWED</t>
  </si>
  <si>
    <t xml:space="preserve">USED</t>
  </si>
  <si>
    <t xml:space="preserve">INTEREST / MONTH</t>
  </si>
  <si>
    <t xml:space="preserve">MINIMUMS / MONTH (ALL)</t>
  </si>
  <si>
    <t xml:space="preserve">HIGHEST APR CARRYING A BALANCE</t>
  </si>
  <si>
    <t xml:space="preserve">Lender / account</t>
  </si>
  <si>
    <t xml:space="preserve">Owner</t>
  </si>
  <si>
    <t xml:space="preserve">Amount owed</t>
  </si>
  <si>
    <t xml:space="preserve">Credit limit</t>
  </si>
  <si>
    <t xml:space="preserve">Available</t>
  </si>
  <si>
    <t xml:space="preserve">Used %</t>
  </si>
  <si>
    <t xml:space="preserve">APR</t>
  </si>
  <si>
    <t xml:space="preserve">0% / promo ends</t>
  </si>
  <si>
    <t xml:space="preserve">Interest / mo</t>
  </si>
  <si>
    <t xml:space="preserve">Pay rank</t>
  </si>
  <si>
    <t xml:space="preserve">Owed (home)</t>
  </si>
  <si>
    <t xml:space="preserve">Limit (home)</t>
  </si>
  <si>
    <t xml:space="preserve">Min (home)</t>
  </si>
  <si>
    <t xml:space="preserve">Example — Visa card (type over me)</t>
  </si>
  <si>
    <t xml:space="preserve">Me</t>
  </si>
  <si>
    <t xml:space="preserve">Pick the lender from the dropdown or type a name.</t>
  </si>
  <si>
    <t xml:space="preserve">DBT-01</t>
  </si>
  <si>
    <t xml:space="preserve">Example — car loan</t>
  </si>
  <si>
    <t xml:space="preserve">Loans have no credit limit — leave Limit blank.</t>
  </si>
  <si>
    <t xml:space="preserve">DBT-02</t>
  </si>
  <si>
    <t xml:space="preserve">Example — mortgage</t>
  </si>
  <si>
    <t xml:space="preserve">Joint</t>
  </si>
  <si>
    <t xml:space="preserve">DBT-03</t>
  </si>
  <si>
    <t xml:space="preserve">DBT-04</t>
  </si>
  <si>
    <t xml:space="preserve">DBT-05</t>
  </si>
  <si>
    <t xml:space="preserve">DBT-06</t>
  </si>
  <si>
    <t xml:space="preserve">DBT-07</t>
  </si>
  <si>
    <t xml:space="preserve">DBT-08</t>
  </si>
  <si>
    <t xml:space="preserve">DBT-09</t>
  </si>
  <si>
    <t xml:space="preserve">DBT-10</t>
  </si>
  <si>
    <t xml:space="preserve">DBT-11</t>
  </si>
  <si>
    <t xml:space="preserve">DBT-12</t>
  </si>
  <si>
    <t xml:space="preserve">DBT-13</t>
  </si>
  <si>
    <t xml:space="preserve">DBT-14</t>
  </si>
  <si>
    <t xml:space="preserve">DBT-15</t>
  </si>
  <si>
    <t xml:space="preserve">DBT-16</t>
  </si>
  <si>
    <t xml:space="preserve">DBT-17</t>
  </si>
  <si>
    <t xml:space="preserve">DBT-18</t>
  </si>
  <si>
    <t xml:space="preserve">DBT-19</t>
  </si>
  <si>
    <t xml:space="preserve">DBT-20</t>
  </si>
  <si>
    <t xml:space="preserve">DBT-21</t>
  </si>
  <si>
    <t xml:space="preserve">DBT-22</t>
  </si>
  <si>
    <t xml:space="preserve">DBT-23</t>
  </si>
  <si>
    <t xml:space="preserve">Cards &amp; lines — totals (rows with a limit), home currency</t>
  </si>
  <si>
    <t xml:space="preserve">Under 30% used is good for your score. Standby credit = Available.</t>
  </si>
  <si>
    <t xml:space="preserve">Loans — totals (rows without a limit), home currency</t>
  </si>
  <si>
    <t xml:space="preserve">ALL DEBT</t>
  </si>
  <si>
    <t xml:space="preserve">PAYOFF SCHEDULE — extra payments by month, home currency (blue = your plan). Feeds the Forecast.</t>
  </si>
  <si>
    <t xml:space="preserve">Card / loan</t>
  </si>
  <si>
    <t xml:space="preserve">Balance now</t>
  </si>
  <si>
    <t xml:space="preserve">Left after plan</t>
  </si>
  <si>
    <t xml:space="preserve">Total extra debt payments</t>
  </si>
  <si>
    <t xml:space="preserve">Pick an account in column A (balance fills in), then type what you'll pay each month beyond the minimum. Minimums already sit in the Budget. 'Left after plan' should reach zero.</t>
  </si>
  <si>
    <t xml:space="preserve">Accounts &amp; Net Worth</t>
  </si>
  <si>
    <t xml:space="preserve">CUSHION</t>
  </si>
  <si>
    <t xml:space="preserve">RETIREMENT</t>
  </si>
  <si>
    <t xml:space="preserve">NET WORTH</t>
  </si>
  <si>
    <t xml:space="preserve">Cash account</t>
  </si>
  <si>
    <t xml:space="preserve">Institution</t>
  </si>
  <si>
    <t xml:space="preserve">Balance</t>
  </si>
  <si>
    <t xml:space="preserve">Balance (home)</t>
  </si>
  <si>
    <t xml:space="preserve">Fresh?</t>
  </si>
  <si>
    <t xml:space="preserve">CASH BY OWNER</t>
  </si>
  <si>
    <t xml:space="preserve">Where your paycheck lands and bills get paid.</t>
  </si>
  <si>
    <t xml:space="preserve">Cash (home)</t>
  </si>
  <si>
    <t xml:space="preserve">ACC-01</t>
  </si>
  <si>
    <t xml:space="preserve">ACC-02</t>
  </si>
  <si>
    <t xml:space="preserve">Partner checking</t>
  </si>
  <si>
    <t xml:space="preserve">Partner</t>
  </si>
  <si>
    <t xml:space="preserve">Leave blank if not applicable.</t>
  </si>
  <si>
    <t xml:space="preserve">ACC-03</t>
  </si>
  <si>
    <t xml:space="preserve">Partner savings</t>
  </si>
  <si>
    <t xml:space="preserve">ACC-04</t>
  </si>
  <si>
    <t xml:space="preserve">Joint checking</t>
  </si>
  <si>
    <t xml:space="preserve">ACC-05</t>
  </si>
  <si>
    <t xml:space="preserve">High-yield savings / money market</t>
  </si>
  <si>
    <t xml:space="preserve">ACC-06</t>
  </si>
  <si>
    <t xml:space="preserve">ACC-07</t>
  </si>
  <si>
    <t xml:space="preserve">HSA / FSA</t>
  </si>
  <si>
    <t xml:space="preserve">Only the cash you could actually spend.</t>
  </si>
  <si>
    <t xml:space="preserve">NET WORTH MAKE-UP</t>
  </si>
  <si>
    <t xml:space="preserve">ACC-08</t>
  </si>
  <si>
    <t xml:space="preserve">Brokerage — cash portion</t>
  </si>
  <si>
    <t xml:space="preserve">Piece</t>
  </si>
  <si>
    <t xml:space="preserve">ACC-09</t>
  </si>
  <si>
    <t xml:space="preserve">Other account</t>
  </si>
  <si>
    <t xml:space="preserve">Cash</t>
  </si>
  <si>
    <t xml:space="preserve">ACC-10</t>
  </si>
  <si>
    <t xml:space="preserve">Safety-net savings (cushion)</t>
  </si>
  <si>
    <t xml:space="preserve">The account you build toward the savings goal. Keep it separate so you can see it grow.</t>
  </si>
  <si>
    <t xml:space="preserve">Retirement</t>
  </si>
  <si>
    <t xml:space="preserve">ACC-11</t>
  </si>
  <si>
    <t xml:space="preserve">My + joint cash (home currency)</t>
  </si>
  <si>
    <t xml:space="preserve">Partner cash</t>
  </si>
  <si>
    <t xml:space="preserve">Vehicle</t>
  </si>
  <si>
    <t xml:space="preserve">Household cash used in the plan</t>
  </si>
  <si>
    <t xml:space="preserve">Vehicle loan</t>
  </si>
  <si>
    <t xml:space="preserve">Retirement &amp; investments</t>
  </si>
  <si>
    <t xml:space="preserve">Provider</t>
  </si>
  <si>
    <t xml:space="preserve">Card balances</t>
  </si>
  <si>
    <t xml:space="preserve">Workplace plan — 401(k) / 403(b) / pension</t>
  </si>
  <si>
    <t xml:space="preserve">If you're leaving a job at 55 or older, ask the plan about penalty-free withdrawals before rolling it over (US 'Rule of 55').</t>
  </si>
  <si>
    <t xml:space="preserve">IRA / Roth IRA</t>
  </si>
  <si>
    <t xml:space="preserve">Partner retirement</t>
  </si>
  <si>
    <t xml:space="preserve">Retirement total (home currency)</t>
  </si>
  <si>
    <t xml:space="preserve">Home &amp; car</t>
  </si>
  <si>
    <t xml:space="preserve">Value (home)</t>
  </si>
  <si>
    <t xml:space="preserve">Home value (your estimate)</t>
  </si>
  <si>
    <t xml:space="preserve">Zillow / Redfin / a recent appraisal. Blank if renting.</t>
  </si>
  <si>
    <t xml:space="preserve">Mortgage balance</t>
  </si>
  <si>
    <t xml:space="preserve">From Debts &amp; Credit (rows typed as Mortgage).</t>
  </si>
  <si>
    <t xml:space="preserve">Home equity</t>
  </si>
  <si>
    <t xml:space="preserve">Vehicle value (your estimate)</t>
  </si>
  <si>
    <t xml:space="preserve">KBB / Edmunds trade-in value.</t>
  </si>
  <si>
    <t xml:space="preserve">Vehicle loan balance</t>
  </si>
  <si>
    <t xml:space="preserve">From Debts &amp; Credit (rows typed as Auto loan).</t>
  </si>
  <si>
    <t xml:space="preserve">Cash + retirement + home + vehicle − mortgage − vehicle loan − card balances.</t>
  </si>
  <si>
    <t xml:space="preserve">Cash Forecast</t>
  </si>
  <si>
    <t xml:space="preserve">Months after the income change (1 = first month after)</t>
  </si>
  <si>
    <t xml:space="preserve">Paychecks this month</t>
  </si>
  <si>
    <t xml:space="preserve">Big planned expense spent this month (%)</t>
  </si>
  <si>
    <t xml:space="preserve">Partner income (share of month)</t>
  </si>
  <si>
    <t xml:space="preserve">Partner second income (share of month)</t>
  </si>
  <si>
    <t xml:space="preserve">Extra debt payments (Debts &amp; Credit)</t>
  </si>
  <si>
    <t xml:space="preserve">One-time expenses (One-Time tab)</t>
  </si>
  <si>
    <t xml:space="preserve">One-time income (One-Time tab)</t>
  </si>
  <si>
    <t xml:space="preserve">Money coming in</t>
  </si>
  <si>
    <t xml:space="preserve">Your paycheck</t>
  </si>
  <si>
    <t xml:space="preserve">Transition payment 2 (bonus / payout)</t>
  </si>
  <si>
    <t xml:space="preserve">Transition payment 1 (severance)</t>
  </si>
  <si>
    <t xml:space="preserve">New income</t>
  </si>
  <si>
    <t xml:space="preserve">One-time income</t>
  </si>
  <si>
    <t xml:space="preserve">Total coming in</t>
  </si>
  <si>
    <t xml:space="preserve">Money going out</t>
  </si>
  <si>
    <t xml:space="preserve">Fixed bills</t>
  </si>
  <si>
    <t xml:space="preserve">Flexible spending</t>
  </si>
  <si>
    <t xml:space="preserve">Health insurance after the change</t>
  </si>
  <si>
    <t xml:space="preserve">Big planned expense</t>
  </si>
  <si>
    <t xml:space="preserve">Credit-card payments (schedule)</t>
  </si>
  <si>
    <t xml:space="preserve">One-time expenses</t>
  </si>
  <si>
    <t xml:space="preserve">Total going out</t>
  </si>
  <si>
    <t xml:space="preserve">NET CASH FLOW</t>
  </si>
  <si>
    <t xml:space="preserve">ENDING CASH BALANCE</t>
  </si>
  <si>
    <t xml:space="preserve">Orange column = the income-change month (if you set one). Red = cash below zero; outlined cell = the low point. Click the [−] at the left to collapse detail rows. Standby credit and retirement money are NOT counted here — they are the backstop.</t>
  </si>
  <si>
    <t xml:space="preserve">Keywords — auto-match for the Expense Log</t>
  </si>
  <si>
    <t xml:space="preserve">If the description you type contains the keyword (not case-sensitive), the Log suggests that category. Categories must match a Budget row name exactly — rename here if you rename a bill. Amber = no matching Budget row. Last matching row wins.</t>
  </si>
  <si>
    <t xml:space="preserve">Keyword (part of description)</t>
  </si>
  <si>
    <t xml:space="preserve">Category (must match a Budget row)</t>
  </si>
  <si>
    <t xml:space="preserve">rent</t>
  </si>
  <si>
    <t xml:space="preserve">mortgage</t>
  </si>
  <si>
    <t xml:space="preserve">rocket</t>
  </si>
  <si>
    <t xml:space="preserve">mr. cooper</t>
  </si>
  <si>
    <t xml:space="preserve">pennymac</t>
  </si>
  <si>
    <t xml:space="preserve">state farm</t>
  </si>
  <si>
    <t xml:space="preserve">allstate</t>
  </si>
  <si>
    <t xml:space="preserve">geico</t>
  </si>
  <si>
    <t xml:space="preserve">progressive</t>
  </si>
  <si>
    <t xml:space="preserve">usaa</t>
  </si>
  <si>
    <t xml:space="preserve">duke energy</t>
  </si>
  <si>
    <t xml:space="preserve">electric</t>
  </si>
  <si>
    <t xml:space="preserve">power</t>
  </si>
  <si>
    <t xml:space="preserve">edison</t>
  </si>
  <si>
    <t xml:space="preserve">pg&amp;e</t>
  </si>
  <si>
    <t xml:space="preserve">gas co</t>
  </si>
  <si>
    <t xml:space="preserve">piedmont</t>
  </si>
  <si>
    <t xml:space="preserve">water</t>
  </si>
  <si>
    <t xml:space="preserve">sewer</t>
  </si>
  <si>
    <t xml:space="preserve">waste</t>
  </si>
  <si>
    <t xml:space="preserve">republic services</t>
  </si>
  <si>
    <t xml:space="preserve">spectrum</t>
  </si>
  <si>
    <t xml:space="preserve">comcast</t>
  </si>
  <si>
    <t xml:space="preserve">xfinity</t>
  </si>
  <si>
    <t xml:space="preserve">at&amp;t</t>
  </si>
  <si>
    <t xml:space="preserve">verizon</t>
  </si>
  <si>
    <t xml:space="preserve">t-mobile</t>
  </si>
  <si>
    <t xml:space="preserve">mint mobile</t>
  </si>
  <si>
    <t xml:space="preserve">netflix</t>
  </si>
  <si>
    <t xml:space="preserve">spotify</t>
  </si>
  <si>
    <t xml:space="preserve">hulu</t>
  </si>
  <si>
    <t xml:space="preserve">disney</t>
  </si>
  <si>
    <t xml:space="preserve">youtube</t>
  </si>
  <si>
    <t xml:space="preserve">apple.com/bill</t>
  </si>
  <si>
    <t xml:space="preserve">max.com</t>
  </si>
  <si>
    <t xml:space="preserve">icloud</t>
  </si>
  <si>
    <t xml:space="preserve">google storage</t>
  </si>
  <si>
    <t xml:space="preserve">microsoft</t>
  </si>
  <si>
    <t xml:space="preserve">adobe</t>
  </si>
  <si>
    <t xml:space="preserve">chatgpt</t>
  </si>
  <si>
    <t xml:space="preserve">claude</t>
  </si>
  <si>
    <t xml:space="preserve">dropbox</t>
  </si>
  <si>
    <t xml:space="preserve">toyota financial</t>
  </si>
  <si>
    <t xml:space="preserve">honda financial</t>
  </si>
  <si>
    <t xml:space="preserve">ally auto</t>
  </si>
  <si>
    <t xml:space="preserve">gm financial</t>
  </si>
  <si>
    <t xml:space="preserve">ford credit</t>
  </si>
  <si>
    <t xml:space="preserve">shell</t>
  </si>
  <si>
    <t xml:space="preserve">exxon</t>
  </si>
  <si>
    <t xml:space="preserve">chevron</t>
  </si>
  <si>
    <t xml:space="preserve">bp </t>
  </si>
  <si>
    <t xml:space="preserve">sheetz</t>
  </si>
  <si>
    <t xml:space="preserve">wawa</t>
  </si>
  <si>
    <t xml:space="preserve">circle k</t>
  </si>
  <si>
    <t xml:space="preserve">fuel</t>
  </si>
  <si>
    <t xml:space="preserve">gas station</t>
  </si>
  <si>
    <t xml:space="preserve">sunoco</t>
  </si>
  <si>
    <t xml:space="preserve">marathon</t>
  </si>
  <si>
    <t xml:space="preserve">parking</t>
  </si>
  <si>
    <t xml:space="preserve">toll</t>
  </si>
  <si>
    <t xml:space="preserve">e-zpass</t>
  </si>
  <si>
    <t xml:space="preserve">uber</t>
  </si>
  <si>
    <t xml:space="preserve">lyft</t>
  </si>
  <si>
    <t xml:space="preserve">walmart</t>
  </si>
  <si>
    <t xml:space="preserve">kroger</t>
  </si>
  <si>
    <t xml:space="preserve">costco</t>
  </si>
  <si>
    <t xml:space="preserve">aldi</t>
  </si>
  <si>
    <t xml:space="preserve">food lion</t>
  </si>
  <si>
    <t xml:space="preserve">publix</t>
  </si>
  <si>
    <t xml:space="preserve">harris teeter</t>
  </si>
  <si>
    <t xml:space="preserve">trader joe</t>
  </si>
  <si>
    <t xml:space="preserve">whole foods</t>
  </si>
  <si>
    <t xml:space="preserve">safeway</t>
  </si>
  <si>
    <t xml:space="preserve">heb</t>
  </si>
  <si>
    <t xml:space="preserve">target</t>
  </si>
  <si>
    <t xml:space="preserve">sam's club</t>
  </si>
  <si>
    <t xml:space="preserve">grocery</t>
  </si>
  <si>
    <t xml:space="preserve">instacart</t>
  </si>
  <si>
    <t xml:space="preserve">mcdonald</t>
  </si>
  <si>
    <t xml:space="preserve">chick-fil</t>
  </si>
  <si>
    <t xml:space="preserve">starbucks</t>
  </si>
  <si>
    <t xml:space="preserve">dunkin</t>
  </si>
  <si>
    <t xml:space="preserve">doordash</t>
  </si>
  <si>
    <t xml:space="preserve">uber eats</t>
  </si>
  <si>
    <t xml:space="preserve">grubhub</t>
  </si>
  <si>
    <t xml:space="preserve">restaurant</t>
  </si>
  <si>
    <t xml:space="preserve">pizza</t>
  </si>
  <si>
    <t xml:space="preserve">taco</t>
  </si>
  <si>
    <t xml:space="preserve">chipotle</t>
  </si>
  <si>
    <t xml:space="preserve">wendy</t>
  </si>
  <si>
    <t xml:space="preserve">panera</t>
  </si>
  <si>
    <t xml:space="preserve">cvs</t>
  </si>
  <si>
    <t xml:space="preserve">walgreens</t>
  </si>
  <si>
    <t xml:space="preserve">pharmacy</t>
  </si>
  <si>
    <t xml:space="preserve">rite aid</t>
  </si>
  <si>
    <t xml:space="preserve">dental</t>
  </si>
  <si>
    <t xml:space="preserve">clinic</t>
  </si>
  <si>
    <t xml:space="preserve">medical</t>
  </si>
  <si>
    <t xml:space="preserve">hospital</t>
  </si>
  <si>
    <t xml:space="preserve">copay</t>
  </si>
  <si>
    <t xml:space="preserve">planet fitness</t>
  </si>
  <si>
    <t xml:space="preserve">ymca</t>
  </si>
  <si>
    <t xml:space="preserve">gym</t>
  </si>
  <si>
    <t xml:space="preserve">peloton</t>
  </si>
  <si>
    <t xml:space="preserve">daycare</t>
  </si>
  <si>
    <t xml:space="preserve">tuition</t>
  </si>
  <si>
    <t xml:space="preserve">family support</t>
  </si>
  <si>
    <t xml:space="preserve">wise</t>
  </si>
  <si>
    <t xml:space="preserve">remitly</t>
  </si>
  <si>
    <t xml:space="preserve">western union</t>
  </si>
  <si>
    <t xml:space="preserve">xoom</t>
  </si>
  <si>
    <t xml:space="preserve">moneygram</t>
  </si>
  <si>
    <t xml:space="preserve">petsmart</t>
  </si>
  <si>
    <t xml:space="preserve">petco</t>
  </si>
  <si>
    <t xml:space="preserve">chewy</t>
  </si>
  <si>
    <t xml:space="preserve">vet</t>
  </si>
  <si>
    <t xml:space="preserve">old navy</t>
  </si>
  <si>
    <t xml:space="preserve">tj maxx</t>
  </si>
  <si>
    <t xml:space="preserve">kohl</t>
  </si>
  <si>
    <t xml:space="preserve">nike</t>
  </si>
  <si>
    <t xml:space="preserve">shein</t>
  </si>
  <si>
    <t xml:space="preserve">amc</t>
  </si>
  <si>
    <t xml:space="preserve">cinemark</t>
  </si>
  <si>
    <t xml:space="preserve">steam</t>
  </si>
  <si>
    <t xml:space="preserve">playstation</t>
  </si>
  <si>
    <t xml:space="preserve">xbox</t>
  </si>
  <si>
    <t xml:space="preserve">ticketmaster</t>
  </si>
  <si>
    <t xml:space="preserve">casino</t>
  </si>
  <si>
    <t xml:space="preserve">navient</t>
  </si>
  <si>
    <t xml:space="preserve">nelnet</t>
  </si>
  <si>
    <t xml:space="preserve">mohela</t>
  </si>
  <si>
    <t xml:space="preserve">sallie mae</t>
  </si>
  <si>
    <t xml:space="preserve">amazon</t>
  </si>
  <si>
    <t xml:space="preserve">paypal</t>
  </si>
  <si>
    <t xml:space="preserve">venmo</t>
  </si>
  <si>
    <t xml:space="preserve">zelle</t>
  </si>
  <si>
    <t xml:space="preserve">THIS MONTH</t>
  </si>
  <si>
    <t xml:space="preserve">ENTRIES THIS MONTH</t>
  </si>
  <si>
    <t xml:space="preserve">UNCATEGORIZED</t>
  </si>
  <si>
    <t xml:space="preserve">BUDGET / MONTH</t>
  </si>
  <si>
    <t xml:space="preserve">Type blank = expense. Income and Transfer rows never count as spending.</t>
  </si>
  <si>
    <t xml:space="preserve">Category (pick if needed)</t>
  </si>
  <si>
    <t xml:space="preserve">Suggested category</t>
  </si>
  <si>
    <t xml:space="preserve">Category used</t>
  </si>
  <si>
    <t xml:space="preserve">To account (transfers)</t>
  </si>
  <si>
    <t xml:space="preserve">Rate (locked)</t>
  </si>
  <si>
    <t xml:space="preserve">Recurring?</t>
  </si>
  <si>
    <t xml:space="preserve">Latest?</t>
  </si>
  <si>
    <t xml:space="preserve">Rec #</t>
  </si>
  <si>
    <t xml:space="preserve">Kroger grocery run</t>
  </si>
  <si>
    <t xml:space="preserve">EXAMPLE ROW — delete it or type over it.</t>
  </si>
  <si>
    <t xml:space="preserve">Monthly Actuals — what you really spent, by category (from the Expense Log)</t>
  </si>
  <si>
    <t xml:space="preserve">Month to review</t>
  </si>
  <si>
    <t xml:space="preserve">Category</t>
  </si>
  <si>
    <t xml:space="preserve">Budget (Current)</t>
  </si>
  <si>
    <t xml:space="preserve">Actual (month in B3)</t>
  </si>
  <si>
    <t xml:space="preserve">Over / (under)</t>
  </si>
  <si>
    <t xml:space="preserve">Uncategorized</t>
  </si>
  <si>
    <t xml:space="preserve">Reconcile &amp; Review</t>
  </si>
  <si>
    <t xml:space="preserve">ACCOUNTS RECONCILED</t>
  </si>
  <si>
    <t xml:space="preserve">NEED A LOOK</t>
  </si>
  <si>
    <t xml:space="preserve">RECURRING PAYEES NOT ON BUDGET</t>
  </si>
  <si>
    <t xml:space="preserve">INCOME LOGGED THIS MONTH</t>
  </si>
  <si>
    <t xml:space="preserve">RECONCILE — statement vs Expense Log</t>
  </si>
  <si>
    <t xml:space="preserve">Account</t>
  </si>
  <si>
    <t xml:space="preserve">Reconciled on</t>
  </si>
  <si>
    <t xml:space="preserve">Balance then</t>
  </si>
  <si>
    <t xml:space="preserve">Spent since</t>
  </si>
  <si>
    <t xml:space="preserve">Income since</t>
  </si>
  <si>
    <t xml:space="preserve">Transfers in</t>
  </si>
  <si>
    <t xml:space="preserve">Transfers out</t>
  </si>
  <si>
    <t xml:space="preserve">Expected now</t>
  </si>
  <si>
    <t xml:space="preserve">Accounts tab now</t>
  </si>
  <si>
    <t xml:space="preserve">Difference</t>
  </si>
  <si>
    <t xml:space="preserve">Status</t>
  </si>
  <si>
    <t xml:space="preserve">INCOME — logged vs expected</t>
  </si>
  <si>
    <t xml:space="preserve">Last month</t>
  </si>
  <si>
    <t xml:space="preserve">Plan</t>
  </si>
  <si>
    <t xml:space="preserve">Income logged (Type = Income)</t>
  </si>
  <si>
    <t xml:space="preserve">Expenses logged</t>
  </si>
  <si>
    <t xml:space="preserve">Expected now = balance then − spent + income + transfers in − transfers out (all from the Log, home currency). Positive difference = money in the account you haven't logged (income?); negative = spending you haven't logged.</t>
  </si>
  <si>
    <t xml:space="preserve">Net</t>
  </si>
  <si>
    <t xml:space="preserve">Transfers moved</t>
  </si>
  <si>
    <t xml:space="preserve">RECURRING PAYEES — seen in back-to-back months</t>
  </si>
  <si>
    <t xml:space="preserve">Payee (from the Log)</t>
  </si>
  <si>
    <t xml:space="preserve">Last amount</t>
  </si>
  <si>
    <t xml:space="preserve">Times seen</t>
  </si>
  <si>
    <t xml:space="preserve">On Budget?</t>
  </si>
  <si>
    <t xml:space="preserve">A payee that shows up month after month is a bill. If 'add it' shows, put it on the Budget (or add a Keyword so it lands in the right category).</t>
  </si>
  <si>
    <t xml:space="preserve">Monthly Tracker — Plan vs. Actual</t>
  </si>
  <si>
    <t xml:space="preserve">On the last day of each month, type your real total cash (all accounts, home currency) in column C. Money out comes from the Expense Log automatically.</t>
  </si>
  <si>
    <t xml:space="preserve">Plan: ending cash (Likely)</t>
  </si>
  <si>
    <t xml:space="preserve">Actual ending cash</t>
  </si>
  <si>
    <t xml:space="preserve">Actual money out (Log)</t>
  </si>
  <si>
    <t xml:space="preserve">Plan money out (Likely)</t>
  </si>
  <si>
    <t xml:space="preserve">OPEN</t>
  </si>
  <si>
    <t xml:space="preserve">DUE THIS MONTH</t>
  </si>
  <si>
    <t xml:space="preserve">DONE</t>
  </si>
  <si>
    <t xml:space="preserve">Red = past due · Amber = due this month · Grey = done</t>
  </si>
  <si>
    <t xml:space="preserve">#</t>
  </si>
  <si>
    <t xml:space="preserve">Action</t>
  </si>
  <si>
    <t xml:space="preserve">When</t>
  </si>
  <si>
    <t xml:space="preserve">Why</t>
  </si>
  <si>
    <t xml:space="preserve">Fill in Setup, then Accounts (balances), Budget (bills) and Debts &amp; Credit (every card and loan)</t>
  </si>
  <si>
    <t xml:space="preserve">Everything else is automatic once these four are filled.</t>
  </si>
  <si>
    <t xml:space="preserve">Not started</t>
  </si>
  <si>
    <t xml:space="preserve">Pull your free credit reports and add every open account to Debts &amp; Credit</t>
  </si>
  <si>
    <t xml:space="preserve">US: annualcreditreport.com. Catch cards you forgot; check limits and APRs.</t>
  </si>
  <si>
    <t xml:space="preserve">Open a separate savings account for the cushion and set an automatic transfer every payday</t>
  </si>
  <si>
    <t xml:space="preserve">Out of sight, out of spend. Point it at the 'Safety-net savings' row on Accounts.</t>
  </si>
  <si>
    <t xml:space="preserve">Log or import every expense for the first two months</t>
  </si>
  <si>
    <t xml:space="preserve">Most people find 10–20% of spending they didn't know about.</t>
  </si>
  <si>
    <t xml:space="preserve">Pay off the smallest high-APR balances first; check the Pay rank column</t>
  </si>
  <si>
    <t xml:space="preserve">Anything above ~20% APR costs more than any savings account pays.</t>
  </si>
  <si>
    <t xml:space="preserve">Cancel or pause subscriptions you don't use (Budget → Subscriptions group)</t>
  </si>
  <si>
    <t xml:space="preserve">Usually the fastest 50–150 a month.</t>
  </si>
  <si>
    <t xml:space="preserve">Ask each lender about a 0% balance-transfer or lower-rate offer</t>
  </si>
  <si>
    <t xml:space="preserve">Fill in Inputs rows 72–75 if you move a balance.</t>
  </si>
  <si>
    <t xml:space="preserve">Set up a standby line of credit while income is steady (optional)</t>
  </si>
  <si>
    <t xml:space="preserve">Banks lend to people with a paycheck. Standby only — never counted as income.</t>
  </si>
  <si>
    <t xml:space="preserve">Review the Trimmed and Lean budget levels — what would you actually cut?</t>
  </si>
  <si>
    <t xml:space="preserve">The scenarios use these after an income change.</t>
  </si>
  <si>
    <t xml:space="preserve">Confirm health-insurance options and cost after a change (COBRA, marketplace, partner's plan)</t>
  </si>
  <si>
    <t xml:space="preserve">Fill in the Setup block 'If your income is changing'.</t>
  </si>
  <si>
    <t xml:space="preserve">Confirm severance, bonus and unemployment amounts and dates (if income is changing)</t>
  </si>
  <si>
    <t xml:space="preserve">Get the dates in writing; the Forecast assumes them.</t>
  </si>
  <si>
    <t xml:space="preserve">Take the month-end snapshot and update balances</t>
  </si>
  <si>
    <t xml:space="preserve">Keeps the plan honest. Reports compare month to month.</t>
  </si>
  <si>
    <t xml:space="preserve">Review Reports → Budget vs actual and move money between categories if needed</t>
  </si>
  <si>
    <t xml:space="preserve">Update the FX rates on Setup if you send money abroad</t>
  </si>
  <si>
    <t xml:space="preserve">Rates move 2–5% a month — enough to matter.</t>
  </si>
  <si>
    <t xml:space="preserve">Re-run the scenarios after any change in pay, rent or a big expense</t>
  </si>
  <si>
    <t xml:space="preserve">Change the blue cells on Inputs; Forecast and Dashboard follow.</t>
  </si>
  <si>
    <t xml:space="preserve">Getting Started — 12 steps, about an hour</t>
  </si>
  <si>
    <t xml:space="preserve">Setup tab: your name, pay frequency, take-home per paycheck, next payday, home currency. Leave the 'income is changing' block blank unless it applies.</t>
  </si>
  <si>
    <t xml:space="preserve">Accounts tab: type every balance (checking, savings, cash). Pick the institution from the dropdown or type it. Foreign account? Type the balance in that currency and pick the code.</t>
  </si>
  <si>
    <t xml:space="preserve">Budget tab: go down the list and put a number next to every bill you have; blank out the rows you don't. 'Current' is what you spend today; 'Trimmed' and 'Lean' are what you'd cut to if you had to. Pick who pays each bill in 'Paid from'.</t>
  </si>
  <si>
    <t xml:space="preserve">Debts &amp; Credit tab: one row per card, line and loan — balance, limit, APR, minimum. Loans have no limit. This is where the credit-score and interest numbers come from.</t>
  </si>
  <si>
    <t xml:space="preserve">One-Time tab: yearly bills, planned purchases, expected refunds or bonuses — with the month they hit.</t>
  </si>
  <si>
    <t xml:space="preserve">Keywords tab: add the stores and payees you use most so the Expense Log can categorize for you.</t>
  </si>
  <si>
    <t xml:space="preserve">Home tab: read the tiles and scorecard. The numbers are live from here on.</t>
  </si>
  <si>
    <t xml:space="preserve">Each day or week: log spending on Home (Quick add or the + Expense button) or import a bank CSV (Import Map tab).</t>
  </si>
  <si>
    <t xml:space="preserve">Last day of the month: update Accounts balances, click Month-end snapshot, print Dashboard + Reports.</t>
  </si>
  <si>
    <t xml:space="preserve">If income is changing (new job, leave, contract end, retirement): fill the Setup block for it, set the date, and read the Forecast's three scenarios and the Runway tile.</t>
  </si>
  <si>
    <t xml:space="preserve">Currencies: the Setup table holds rates per 1 unit of your home currency. Update them monthly if you send or receive money abroad.</t>
  </si>
  <si>
    <t xml:space="preserve">Colors: blue = yours to type; black = formula; green = pulled from another tab; yellow = double-check this; red = negative cash.</t>
  </si>
  <si>
    <t xml:space="preserve">Home — The hub. Tiles, scorecard, go-to links, quick-add expense and the monthly routine. Every number is live.</t>
  </si>
  <si>
    <t xml:space="preserve">Setup — Start here. Names, pay, dates, currencies and the optional income-change block. Feeds Inputs.</t>
  </si>
  <si>
    <t xml:space="preserve">Dashboard — Two printable pages. Everything on it is linked — change a number on any other tab and it updates.</t>
  </si>
  <si>
    <t xml:space="preserve">Inputs — The assumptions behind the Forecast: transition money, health insurance, partner income, scenarios, credit strategy. Most cells are fed by Setup.</t>
  </si>
  <si>
    <t xml:space="preserve">Budget — Monthly bills at three spending levels, in any currency. Column A names are the Expense Log categories. Side panels: by group, cash needed by account, due-date calendar.</t>
  </si>
  <si>
    <t xml:space="preserve">One-Time — Anything that is not monthly, with the month it hits. The big-planned-expense block at the bottom feeds Inputs B53.</t>
  </si>
  <si>
    <t xml:space="preserve">Debts &amp; Credit — Every card, line and loan. Used %, interest per month and pay rank calculate. The payoff schedule at the bottom is your extra-payment plan.</t>
  </si>
  <si>
    <t xml:space="preserve">Accounts — Cash, retirement, home and vehicle, in any currency. Update balances on the last day of each month.</t>
  </si>
  <si>
    <t xml:space="preserve">Forecast — 20 months, three scenarios. Formulas only.</t>
  </si>
  <si>
    <t xml:space="preserve">Expense Log — Type date, description, amount. The category is suggested from the Keywords tab; pick one in column D only if the suggestion is wrong. 600 rows ready.</t>
  </si>
  <si>
    <t xml:space="preserve">Monthly Actuals — What you really spent, by category and month, vs. the budget. Pick a month in B3.</t>
  </si>
  <si>
    <t xml:space="preserve">Keywords — Teach the Log: keyword → category. Add rows for your own stores and payees.</t>
  </si>
  <si>
    <t xml:space="preserve">Tracker — Plan vs. actual cash each month. Type your real total cash in column C at month end.</t>
  </si>
  <si>
    <t xml:space="preserve">Action Plan — A starter to-do list with dates. Edit freely. Mark items Done.</t>
  </si>
  <si>
    <t xml:space="preserve">Reports — Month in review, debt progress, budget vs actual. Pick the month in B3 and print.</t>
  </si>
  <si>
    <t xml:space="preserve">Snapshots — Month-end history, written by the Snapshot button (or by hand).</t>
  </si>
  <si>
    <t xml:space="preserve">Lists — Every dropdown lives here — categories, banks, lenders, providers, account and debt types. Add rows and they appear everywhere.</t>
  </si>
  <si>
    <t xml:space="preserve">Colors — Blue = type here. Black = formula (don't type over). Green = pulled from another tab. Yellow = check this. Red = negative cash.</t>
  </si>
  <si>
    <t xml:space="preserve">Buttons (optional) — Import modDeploy.bas (Alt+F11 → File → Import) and run Deploy to get the tab ribbon, the Add Expense form, Snapshot and CSV import buttons. Everything works without it.</t>
  </si>
  <si>
    <t xml:space="preserve">Snapshots — month-end history</t>
  </si>
  <si>
    <t xml:space="preserve">One row per month-end, written by the Snapshot button (or type a row by hand). Reports and the Home scorecard compare these rows.</t>
  </si>
  <si>
    <t xml:space="preserve">Snapshot date</t>
  </si>
  <si>
    <t xml:space="preserve">Household cash</t>
  </si>
  <si>
    <t xml:space="preserve">Loan debt</t>
  </si>
  <si>
    <t xml:space="preserve">Available credit</t>
  </si>
  <si>
    <t xml:space="preserve">Budget / mo</t>
  </si>
  <si>
    <t xml:space="preserve">Actual spent (month)</t>
  </si>
  <si>
    <t xml:space="preserve">Cushion saved</t>
  </si>
  <si>
    <t xml:space="preserve">Plan cash (Likely)</t>
  </si>
  <si>
    <t xml:space="preserve">Import Map — how each bank's CSV is laid out</t>
  </si>
  <si>
    <t xml:space="preserve">Used by the Import CSV button. Column names must match the header row in the bank's file exactly. Sign = -1 when the bank shows spending as negative numbers.</t>
  </si>
  <si>
    <t xml:space="preserve">Bank (pick at import)</t>
  </si>
  <si>
    <t xml:space="preserve">Date column</t>
  </si>
  <si>
    <t xml:space="preserve">Description column</t>
  </si>
  <si>
    <t xml:space="preserve">Amount column</t>
  </si>
  <si>
    <t xml:space="preserve">Sign</t>
  </si>
  <si>
    <t xml:space="preserve">Header row</t>
  </si>
  <si>
    <t xml:space="preserve">Transaction Date</t>
  </si>
  <si>
    <t xml:space="preserve">Chase CSV: spending is negative.</t>
  </si>
  <si>
    <t xml:space="preserve">Spending is negative.</t>
  </si>
  <si>
    <t xml:space="preserve">Debit</t>
  </si>
  <si>
    <t xml:space="preserve">Separate Debit / Credit columns; Debit is spending.</t>
  </si>
  <si>
    <t xml:space="preserve">Trans. Date</t>
  </si>
  <si>
    <t xml:space="preserve">Spending is positive.</t>
  </si>
  <si>
    <t xml:space="preserve">Withdrawal</t>
  </si>
  <si>
    <t xml:space="preserve">Withdrawal / Deposit columns.</t>
  </si>
  <si>
    <t xml:space="preserve">Generic</t>
  </si>
  <si>
    <t xml:space="preserve">Most banks: Date, Description, Amount with spending negative. Check the first export and adjust.</t>
  </si>
  <si>
    <t xml:space="preserve">Year View</t>
  </si>
  <si>
    <t xml:space="preserve">12-MONTH ACTUAL</t>
  </si>
  <si>
    <t xml:space="preserve">12-MONTH BUDGET</t>
  </si>
  <si>
    <t xml:space="preserve">OVER / (UNDER)</t>
  </si>
  <si>
    <t xml:space="preserve">MONTHS WITH DATA</t>
  </si>
  <si>
    <t xml:space="preserve">12-mo actual</t>
  </si>
  <si>
    <t xml:space="preserve">12-mo budget</t>
  </si>
  <si>
    <t xml:space="preserve">Report month</t>
  </si>
  <si>
    <t xml:space="preserve">SPENT VS BUDGET</t>
  </si>
  <si>
    <t xml:space="preserve">CASH AT MONTH END</t>
  </si>
  <si>
    <t xml:space="preserve">CARD DEBT</t>
  </si>
  <si>
    <t xml:space="preserve">Top 5 categories this month</t>
  </si>
  <si>
    <t xml:space="preserve">Spent</t>
  </si>
  <si>
    <t xml:space="preserve">% of budget</t>
  </si>
  <si>
    <t xml:space="preserve">Ties between categories can show the same name twice — rare, harmless.</t>
  </si>
  <si>
    <t xml:space="preserve">Housekeeping</t>
  </si>
  <si>
    <t xml:space="preserve">Count</t>
  </si>
  <si>
    <t xml:space="preserve">Read</t>
  </si>
  <si>
    <t xml:space="preserve">Expense Log entries this month</t>
  </si>
  <si>
    <t xml:space="preserve">Uncategorized entries (all)</t>
  </si>
  <si>
    <t xml:space="preserve">Actions due this month, still open</t>
  </si>
  <si>
    <t xml:space="preserve">Actions done (all time)</t>
  </si>
  <si>
    <t xml:space="preserve">Snapshot taken for this month</t>
  </si>
  <si>
    <t xml:space="preserve">Spending by group this month</t>
  </si>
  <si>
    <t xml:space="preserve">2 · DEBT PROGRESS — every card and line</t>
  </si>
  <si>
    <t xml:space="preserve">Min / interest</t>
  </si>
  <si>
    <t xml:space="preserve">0% / promo ends · notes</t>
  </si>
  <si>
    <t xml:space="preserve">ALL DEBT (with car + mortgage)</t>
  </si>
  <si>
    <t xml:space="preserve">Card debt vs last snapshot</t>
  </si>
  <si>
    <t xml:space="preserve">Min / interest = minimum payment / interest cost this month at the current APR.</t>
  </si>
  <si>
    <t xml:space="preserve">Actual</t>
  </si>
  <si>
    <t xml:space="preserve">4 · DEBT PAYOFF TIMELINE — at minimum + planned extra</t>
  </si>
  <si>
    <t xml:space="preserve">Min + extra / mo</t>
  </si>
  <si>
    <t xml:space="preserve">Months to zero</t>
  </si>
  <si>
    <t xml:space="preserve">Interest to pay</t>
  </si>
  <si>
    <t xml:space="preserve">Paid off</t>
  </si>
  <si>
    <t xml:space="preserve">Interest to pay = total payments − balance, at today's APR. Extra = average of the payoff-schedule row for that account. 'Never' = the payment doesn't cover the interest.</t>
  </si>
  <si>
    <t xml:space="preserve">5 · BY CURRENCY — spending logged in a foreign currency</t>
  </si>
  <si>
    <t xml:space="preserve">This month (local)</t>
  </si>
  <si>
    <t xml:space="preserve">This month (home)</t>
  </si>
  <si>
    <t xml:space="preserve">All time (local)</t>
  </si>
  <si>
    <t xml:space="preserve">All time (home)</t>
  </si>
  <si>
    <t xml:space="preserve">Entries</t>
  </si>
  <si>
    <t xml:space="preserve">Rate now</t>
  </si>
  <si>
    <t xml:space="preserve">Local = what you typed in that currency; home = converted at the rate locked on each Log row (or the current rate if none). Faded rows have no entries yet.</t>
  </si>
  <si>
    <t xml:space="preserve">About this workbook</t>
  </si>
  <si>
    <t xml:space="preserve">Version, what changed, and where things live. Deploy writes its own line here each time it runs.</t>
  </si>
  <si>
    <t xml:space="preserve">Value</t>
  </si>
  <si>
    <t xml:space="preserve">Version</t>
  </si>
  <si>
    <t xml:space="preserve">1.2</t>
  </si>
  <si>
    <t xml:space="preserve">Built</t>
  </si>
  <si>
    <t xml:space="preserve">2026-10-13</t>
  </si>
  <si>
    <t xml:space="preserve">Deploy last run</t>
  </si>
  <si>
    <t xml:space="preserve">Formulas</t>
  </si>
  <si>
    <t xml:space="preserve">Everything is live; macros are optional.</t>
  </si>
  <si>
    <t xml:space="preserve">Currencies</t>
  </si>
  <si>
    <t xml:space="preserve">Setup tab, rates per 1 home unit.</t>
  </si>
  <si>
    <t xml:space="preserve">Lists tab drives every dropdown.</t>
  </si>
  <si>
    <t xml:space="preserve">Support</t>
  </si>
  <si>
    <t xml:space="preserve">Replace with your own contact when you share it.</t>
  </si>
  <si>
    <t xml:space="preserve">CHANGE LOG</t>
  </si>
  <si>
    <t xml:space="preserve">What changed</t>
  </si>
  <si>
    <t xml:space="preserve">v1.0 — generic template: Setup, Lists, currencies, Reconcile, Year View, health check, named ranges, sheet protection.</t>
  </si>
</sst>
</file>

<file path=xl/styles.xml><?xml version="1.0" encoding="utf-8"?>
<styleSheet xmlns="http://schemas.openxmlformats.org/spreadsheetml/2006/main">
  <numFmts count="25">
    <numFmt numFmtId="164" formatCode="General"/>
    <numFmt numFmtId="165" formatCode="#,##0;\(#,##0\);\-"/>
    <numFmt numFmtId="166" formatCode="0"/>
    <numFmt numFmtId="167" formatCode="General"/>
    <numFmt numFmtId="168" formatCode="m/d/yyyy"/>
    <numFmt numFmtId="169" formatCode="#,##0.00;\(#,##0.00\);\-"/>
    <numFmt numFmtId="170" formatCode="0;\-0;\—"/>
    <numFmt numFmtId="171" formatCode="0.0&quot; mo&quot;"/>
    <numFmt numFmtId="172" formatCode="0.0%;\-0.0%;\-"/>
    <numFmt numFmtId="173" formatCode="0.00%;\-0.00%;\-"/>
    <numFmt numFmtId="174" formatCode="mmm\ yyyy"/>
    <numFmt numFmtId="175" formatCode="0.#"/>
    <numFmt numFmtId="176" formatCode="mmm\ yy"/>
    <numFmt numFmtId="177" formatCode="#,##0"/>
    <numFmt numFmtId="178" formatCode="#,##0.00##"/>
    <numFmt numFmtId="179" formatCode="&quot;At the change (likely):  &quot;#,##0"/>
    <numFmt numFmtId="180" formatCode="&quot;Low point (likely):  &quot;#,##0"/>
    <numFmt numFmtId="181" formatCode="&quot;Low point (worst):  &quot;#,##0"/>
    <numFmt numFmtId="182" formatCode="&quot;Month 20 (likely):  &quot;#,##0"/>
    <numFmt numFmtId="183" formatCode="&quot;Month 20 (worst):  &quot;#,##0"/>
    <numFmt numFmtId="184" formatCode="0.##"/>
    <numFmt numFmtId="185" formatCode="0%"/>
    <numFmt numFmtId="186" formatCode="\+#,##0.00;\-#,##0.00;\-"/>
    <numFmt numFmtId="187" formatCode="\+#,##0;\-#,##0;\-"/>
    <numFmt numFmtId="188" formatCode="#,##0.00"/>
  </numFmts>
  <fonts count="4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Segoe UI"/>
      <family val="0"/>
      <charset val="1"/>
    </font>
    <font>
      <sz val="1"/>
      <color rgb="FFFFFFFF"/>
      <name val="Segoe UI"/>
      <family val="0"/>
      <charset val="1"/>
    </font>
    <font>
      <b val="true"/>
      <sz val="15"/>
      <color rgb="FF0B5C47"/>
      <name val="Bahnschrift"/>
      <family val="0"/>
      <charset val="1"/>
    </font>
    <font>
      <b val="true"/>
      <sz val="26"/>
      <color rgb="FFFFFFFF"/>
      <name val="Bahnschrift"/>
      <family val="0"/>
      <charset val="1"/>
    </font>
    <font>
      <i val="true"/>
      <sz val="10"/>
      <color rgb="FFDFF3EA"/>
      <name val="Segoe UI"/>
      <family val="0"/>
      <charset val="1"/>
    </font>
    <font>
      <b val="true"/>
      <sz val="9"/>
      <color rgb="FF0B5C47"/>
      <name val="Segoe UI"/>
      <family val="0"/>
      <charset val="1"/>
    </font>
    <font>
      <b val="true"/>
      <sz val="13"/>
      <color rgb="FFFFFFFF"/>
      <name val="Bahnschrift"/>
      <family val="0"/>
      <charset val="1"/>
    </font>
    <font>
      <b val="true"/>
      <sz val="13"/>
      <color rgb="FF0B5C47"/>
      <name val="Bahnschrift"/>
      <family val="0"/>
      <charset val="1"/>
    </font>
    <font>
      <sz val="9"/>
      <color rgb="FF5B6B66"/>
      <name val="Segoe UI"/>
      <family val="0"/>
      <charset val="1"/>
    </font>
    <font>
      <i val="true"/>
      <sz val="9"/>
      <color rgb="FF555555"/>
      <name val="Segoe UI"/>
      <family val="0"/>
      <charset val="1"/>
    </font>
    <font>
      <sz val="10"/>
      <color rgb="FF1E2A33"/>
      <name val="Segoe UI"/>
      <family val="0"/>
      <charset val="1"/>
    </font>
    <font>
      <sz val="9"/>
      <color rgb="FF1E2A33"/>
      <name val="Segoe UI"/>
      <family val="0"/>
      <charset val="1"/>
    </font>
    <font>
      <sz val="8"/>
      <color rgb="FF8A97A0"/>
      <name val="Segoe UI"/>
      <family val="0"/>
      <charset val="1"/>
    </font>
    <font>
      <b val="true"/>
      <sz val="10"/>
      <color rgb="FF0B5C47"/>
      <name val="Segoe UI"/>
      <family val="0"/>
      <charset val="1"/>
    </font>
    <font>
      <b val="true"/>
      <sz val="18"/>
      <color rgb="FF0B5C47"/>
      <name val="Bahnschrift"/>
      <family val="0"/>
      <charset val="1"/>
    </font>
    <font>
      <b val="true"/>
      <sz val="8"/>
      <color rgb="FF0B5C47"/>
      <name val="Segoe UI"/>
      <family val="0"/>
      <charset val="1"/>
    </font>
    <font>
      <b val="true"/>
      <sz val="9"/>
      <color rgb="FFFFFFFF"/>
      <name val="Segoe UI"/>
      <family val="0"/>
      <charset val="1"/>
    </font>
    <font>
      <b val="true"/>
      <sz val="10"/>
      <color rgb="FF1E2A33"/>
      <name val="Segoe UI"/>
      <family val="0"/>
      <charset val="1"/>
    </font>
    <font>
      <b val="true"/>
      <sz val="11"/>
      <color rgb="FF0F8A6A"/>
      <name val="Segoe UI"/>
      <family val="0"/>
      <charset val="1"/>
    </font>
    <font>
      <sz val="8"/>
      <color rgb="FF5B6B66"/>
      <name val="Segoe UI"/>
      <family val="0"/>
      <charset val="1"/>
    </font>
    <font>
      <sz val="10"/>
      <color rgb="FF0000FF"/>
      <name val="Segoe UI"/>
      <family val="0"/>
      <charset val="1"/>
    </font>
    <font>
      <b val="true"/>
      <sz val="12"/>
      <color rgb="FFFFFFFF"/>
      <name val="Segoe UI"/>
      <family val="0"/>
      <charset val="1"/>
    </font>
    <font>
      <sz val="12"/>
      <color rgb="FF0F8A6A"/>
      <name val="Segoe UI"/>
      <family val="0"/>
      <charset val="1"/>
    </font>
    <font>
      <sz val="10"/>
      <name val="Arial"/>
      <family val="2"/>
    </font>
    <font>
      <b val="true"/>
      <sz val="17"/>
      <color rgb="FFFFFFFF"/>
      <name val="Bahnschrift"/>
      <family val="0"/>
      <charset val="1"/>
    </font>
    <font>
      <i val="true"/>
      <sz val="9"/>
      <color rgb="FFDFF3EA"/>
      <name val="Segoe UI"/>
      <family val="0"/>
      <charset val="1"/>
    </font>
    <font>
      <sz val="8"/>
      <color rgb="FFDFF3EA"/>
      <name val="Segoe UI"/>
      <family val="0"/>
      <charset val="1"/>
    </font>
    <font>
      <b val="true"/>
      <sz val="7.5"/>
      <color rgb="FF5B6B66"/>
      <name val="Segoe UI"/>
      <family val="0"/>
      <charset val="1"/>
    </font>
    <font>
      <sz val="9"/>
      <name val="Segoe UI"/>
      <family val="0"/>
      <charset val="1"/>
    </font>
    <font>
      <b val="true"/>
      <sz val="10"/>
      <name val="Segoe UI"/>
      <family val="0"/>
      <charset val="1"/>
    </font>
    <font>
      <b val="true"/>
      <sz val="9"/>
      <name val="Segoe UI"/>
      <family val="0"/>
      <charset val="1"/>
    </font>
    <font>
      <b val="true"/>
      <sz val="8"/>
      <name val="Segoe UI"/>
      <family val="0"/>
      <charset val="1"/>
    </font>
    <font>
      <b val="true"/>
      <sz val="11"/>
      <color rgb="FFFFFFFF"/>
      <name val="Bahnschrift"/>
      <family val="0"/>
      <charset val="1"/>
    </font>
    <font>
      <sz val="8"/>
      <name val="Segoe U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Segoe UI"/>
      <family val="0"/>
      <charset val="1"/>
    </font>
    <font>
      <sz val="10"/>
      <color rgb="FF008000"/>
      <name val="Segoe UI"/>
      <family val="0"/>
      <charset val="1"/>
    </font>
    <font>
      <b val="true"/>
      <sz val="14"/>
      <color rgb="FF0B5C47"/>
      <name val="Bahnschrift"/>
      <family val="0"/>
      <charset val="1"/>
    </font>
    <font>
      <b val="true"/>
      <sz val="8"/>
      <color rgb="FF8A97A0"/>
      <name val="Segoe UI"/>
      <family val="0"/>
      <charset val="1"/>
    </font>
    <font>
      <b val="true"/>
      <sz val="12"/>
      <color rgb="FF0B5C47"/>
      <name val="Bahnschrift"/>
      <family val="0"/>
      <charset val="1"/>
    </font>
    <font>
      <b val="true"/>
      <sz val="11"/>
      <color rgb="FFFFFFFF"/>
      <name val="Segoe U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B5C47"/>
        <bgColor rgb="FF0D7359"/>
      </patternFill>
    </fill>
    <fill>
      <patternFill patternType="solid">
        <fgColor rgb="FF0D7359"/>
        <bgColor rgb="FF0F8A6A"/>
      </patternFill>
    </fill>
    <fill>
      <patternFill patternType="solid">
        <fgColor rgb="FFFFFFFF"/>
        <bgColor rgb="FFFFFDF0"/>
      </patternFill>
    </fill>
    <fill>
      <patternFill patternType="solid">
        <fgColor rgb="FFF3FBF7"/>
        <bgColor rgb="FFF7FBF9"/>
      </patternFill>
    </fill>
    <fill>
      <patternFill patternType="solid">
        <fgColor rgb="FFD6F2E6"/>
        <bgColor rgb="FFDFF3EA"/>
      </patternFill>
    </fill>
    <fill>
      <patternFill patternType="solid">
        <fgColor rgb="FFFFF59D"/>
        <bgColor rgb="FFFFF0C7"/>
      </patternFill>
    </fill>
    <fill>
      <patternFill patternType="solid">
        <fgColor rgb="FFE9F7F1"/>
        <bgColor rgb="FFEEF2F0"/>
      </patternFill>
    </fill>
    <fill>
      <patternFill patternType="solid">
        <fgColor rgb="FFFFFDF0"/>
        <bgColor rgb="FFFFFFFF"/>
      </patternFill>
    </fill>
    <fill>
      <patternFill patternType="solid">
        <fgColor rgb="FF0F8A6A"/>
        <bgColor rgb="FF0D7359"/>
      </patternFill>
    </fill>
    <fill>
      <patternFill patternType="solid">
        <fgColor rgb="FFF3F4F6"/>
        <bgColor rgb="FFEEF2F0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B5C47"/>
      </left>
      <right style="medium">
        <color rgb="FF0B5C47"/>
      </right>
      <top style="medium">
        <color rgb="FF0B5C47"/>
      </top>
      <bottom style="medium">
        <color rgb="FF0B5C47"/>
      </bottom>
      <diagonal/>
    </border>
    <border diagonalUp="false" diagonalDown="false">
      <left style="thin">
        <color rgb="FFD9E7E0"/>
      </left>
      <right style="thin">
        <color rgb="FFD9E7E0"/>
      </right>
      <top style="thick">
        <color rgb="FF0B5C47"/>
      </top>
      <bottom/>
      <diagonal/>
    </border>
    <border diagonalUp="false" diagonalDown="false">
      <left style="thin">
        <color rgb="FFD9E7E0"/>
      </left>
      <right style="thin">
        <color rgb="FFD9E7E0"/>
      </right>
      <top/>
      <bottom style="thin">
        <color rgb="FFD9E7E0"/>
      </bottom>
      <diagonal/>
    </border>
    <border diagonalUp="false" diagonalDown="false">
      <left/>
      <right/>
      <top/>
      <bottom style="dashed">
        <color rgb="FFD9E7E0"/>
      </bottom>
      <diagonal/>
    </border>
    <border diagonalUp="false" diagonalDown="false">
      <left style="thin">
        <color rgb="FFD9E7E0"/>
      </left>
      <right style="thin">
        <color rgb="FFD9E7E0"/>
      </right>
      <top style="thin">
        <color rgb="FFD9E7E0"/>
      </top>
      <bottom/>
      <diagonal/>
    </border>
    <border diagonalUp="false" diagonalDown="false">
      <left style="thin">
        <color rgb="FFD9E7E0"/>
      </left>
      <right/>
      <top style="thin">
        <color rgb="FFD9E7E0"/>
      </top>
      <bottom style="thin">
        <color rgb="FFD9E7E0"/>
      </bottom>
      <diagonal/>
    </border>
    <border diagonalUp="false" diagonalDown="false">
      <left style="thin">
        <color rgb="FFD9E7E0"/>
      </left>
      <right style="thin">
        <color rgb="FFD9E7E0"/>
      </right>
      <top style="thin">
        <color rgb="FFD9E7E0"/>
      </top>
      <bottom style="thin">
        <color rgb="FFD9E7E0"/>
      </bottom>
      <diagonal/>
    </border>
    <border diagonalUp="false" diagonalDown="false">
      <left style="thick">
        <color rgb="FF0F8A6A"/>
      </left>
      <right style="thin">
        <color rgb="FFD9E7E0"/>
      </right>
      <top style="thin">
        <color rgb="FFD9E7E0"/>
      </top>
      <bottom/>
      <diagonal/>
    </border>
    <border diagonalUp="false" diagonalDown="false">
      <left style="thick">
        <color rgb="FFE0A020"/>
      </left>
      <right style="thin">
        <color rgb="FFD9E7E0"/>
      </right>
      <top style="thin">
        <color rgb="FFD9E7E0"/>
      </top>
      <bottom/>
      <diagonal/>
    </border>
    <border diagonalUp="false" diagonalDown="false">
      <left style="thick">
        <color rgb="FF0F8A6A"/>
      </left>
      <right style="thin">
        <color rgb="FFD9E7E0"/>
      </right>
      <top/>
      <bottom/>
      <diagonal/>
    </border>
    <border diagonalUp="false" diagonalDown="false">
      <left style="thick">
        <color rgb="FFE0A020"/>
      </left>
      <right style="thin">
        <color rgb="FFD9E7E0"/>
      </right>
      <top/>
      <bottom/>
      <diagonal/>
    </border>
    <border diagonalUp="false" diagonalDown="false">
      <left style="thick">
        <color rgb="FF0F8A6A"/>
      </left>
      <right style="thin">
        <color rgb="FFD9E7E0"/>
      </right>
      <top/>
      <bottom style="thin">
        <color rgb="FFD9E7E0"/>
      </bottom>
      <diagonal/>
    </border>
    <border diagonalUp="false" diagonalDown="false">
      <left style="thick">
        <color rgb="FFE0A020"/>
      </left>
      <right style="thin">
        <color rgb="FFD9E7E0"/>
      </right>
      <top/>
      <bottom style="thin">
        <color rgb="FFD9E7E0"/>
      </bottom>
      <diagonal/>
    </border>
    <border diagonalUp="false" diagonalDown="false">
      <left style="thin">
        <color rgb="FFD9E7E0"/>
      </left>
      <right style="thin">
        <color rgb="FFD9E7E0"/>
      </right>
      <top style="thin">
        <color rgb="FFD9E7E0"/>
      </top>
      <bottom style="medium">
        <color rgb="FF0B5C47"/>
      </bottom>
      <diagonal/>
    </border>
    <border diagonalUp="false" diagonalDown="false">
      <left style="thin">
        <color rgb="FFD9E7E0"/>
      </left>
      <right/>
      <top/>
      <bottom/>
      <diagonal/>
    </border>
    <border diagonalUp="false" diagonalDown="false">
      <left/>
      <right style="thin">
        <color rgb="FFD9E7E0"/>
      </right>
      <top/>
      <bottom/>
      <diagonal/>
    </border>
    <border diagonalUp="false" diagonalDown="false">
      <left style="thin">
        <color rgb="FFD9E7E0"/>
      </left>
      <right/>
      <top/>
      <bottom style="thin">
        <color rgb="FFD9E7E0"/>
      </bottom>
      <diagonal/>
    </border>
    <border diagonalUp="false" diagonalDown="false">
      <left/>
      <right/>
      <top/>
      <bottom style="thin">
        <color rgb="FFD9E7E0"/>
      </bottom>
      <diagonal/>
    </border>
    <border diagonalUp="false" diagonalDown="false">
      <left/>
      <right style="thin">
        <color rgb="FFD9E7E0"/>
      </right>
      <top/>
      <bottom style="thin">
        <color rgb="FFD9E7E0"/>
      </bottom>
      <diagonal/>
    </border>
    <border diagonalUp="false" diagonalDown="false">
      <left style="thin">
        <color rgb="FFD9E7E0"/>
      </left>
      <right/>
      <top style="thin">
        <color rgb="FFD9E7E0"/>
      </top>
      <bottom/>
      <diagonal/>
    </border>
    <border diagonalUp="false" diagonalDown="false">
      <left/>
      <right/>
      <top style="thin">
        <color rgb="FFD9E7E0"/>
      </top>
      <bottom/>
      <diagonal/>
    </border>
    <border diagonalUp="false" diagonalDown="false">
      <left/>
      <right style="thin">
        <color rgb="FFD9E7E0"/>
      </right>
      <top style="thin">
        <color rgb="FFD9E7E0"/>
      </top>
      <bottom/>
      <diagonal/>
    </border>
    <border diagonalUp="false" diagonalDown="false">
      <left/>
      <right/>
      <top/>
      <bottom style="medium">
        <color rgb="FF0B5C47"/>
      </bottom>
      <diagonal/>
    </border>
    <border diagonalUp="false" diagonalDown="false">
      <left style="thick">
        <color rgb="FF0F8A6A"/>
      </left>
      <right style="thin">
        <color rgb="FFD9E7E0"/>
      </right>
      <top style="thin">
        <color rgb="FFD9E7E0"/>
      </top>
      <bottom style="thin">
        <color rgb="FFD9E7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8" fillId="5" borderId="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8" fillId="5" borderId="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6" fontId="18" fillId="5" borderId="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23" fillId="5" borderId="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7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24" fillId="7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7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21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4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31" fillId="4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8" fillId="4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18" fillId="4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4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3" fillId="4" borderId="1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5" fontId="18" fillId="4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2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2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3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3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3" fillId="5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4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2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2" fillId="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2" fillId="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3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34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24" fillId="7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4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8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8" fontId="24" fillId="7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8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2" fontId="24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9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9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3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24" fillId="7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24" fillId="7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74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2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5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4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3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2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73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73" fontId="2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4" fontId="3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44" fillId="5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80" fontId="44" fillId="5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81" fontId="44" fillId="5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82" fontId="44" fillId="5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83" fontId="44" fillId="5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4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4" fontId="4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85" fontId="2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85" fontId="4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5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7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4" fillId="7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86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87" fontId="42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74" fontId="9" fillId="8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7" fontId="4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7" fontId="3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5" borderId="1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73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7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4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8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7">
    <dxf>
      <font>
        <name val="Segoe UI"/>
        <charset val="1"/>
        <family val="0"/>
        <b val="1"/>
        <color rgb="FF7A5200"/>
        <sz val="8"/>
      </font>
      <fill>
        <patternFill>
          <bgColor rgb="FFFFF0C7"/>
        </patternFill>
      </fill>
    </dxf>
    <dxf>
      <font>
        <name val="Segoe UI"/>
        <charset val="1"/>
        <family val="0"/>
        <b val="1"/>
        <color rgb="FF8A1F1F"/>
        <sz val="8"/>
      </font>
      <fill>
        <patternFill>
          <bgColor rgb="FFFFD9D9"/>
        </patternFill>
      </fill>
    </dxf>
    <dxf>
      <font>
        <name val="Bahnschrift"/>
        <charset val="1"/>
        <family val="0"/>
        <b val="1"/>
        <color rgb="FF8A1F1F"/>
        <sz val="18"/>
      </font>
    </dxf>
    <dxf>
      <font>
        <name val="Segoe UI"/>
        <charset val="1"/>
        <family val="0"/>
        <b val="1"/>
        <color rgb="FF0B5C47"/>
        <sz val="9"/>
      </font>
      <fill>
        <patternFill>
          <bgColor rgb="FFD6F2E6"/>
        </patternFill>
      </fill>
    </dxf>
    <dxf>
      <font>
        <name val="Segoe UI"/>
        <charset val="1"/>
        <family val="0"/>
        <b val="1"/>
        <color rgb="FF7A5200"/>
        <sz val="9"/>
      </font>
      <fill>
        <patternFill>
          <bgColor rgb="FFFFF0C7"/>
        </patternFill>
      </fill>
    </dxf>
    <dxf>
      <fill>
        <patternFill>
          <bgColor rgb="FFF7FBF9"/>
        </patternFill>
      </fill>
    </dxf>
    <dxf>
      <font>
        <name val="Segoe UI"/>
        <charset val="1"/>
        <family val="0"/>
        <b val="1"/>
        <color rgb="FF8A1F1F"/>
        <sz val="9"/>
      </font>
    </dxf>
    <dxf>
      <font>
        <name val="Segoe UI"/>
        <charset val="1"/>
        <family val="0"/>
        <b val="1"/>
        <color rgb="FF8A1F1F"/>
        <sz val="10"/>
      </font>
    </dxf>
    <dxf>
      <font>
        <name val="Segoe UI"/>
        <charset val="1"/>
        <family val="0"/>
        <i val="1"/>
        <color rgb="FF4B5A63"/>
        <sz val="10"/>
      </font>
    </dxf>
    <dxf>
      <fill>
        <patternFill>
          <bgColor rgb="FFFFF8E1"/>
        </patternFill>
      </fill>
    </dxf>
    <dxf>
      <fill>
        <patternFill>
          <bgColor rgb="FFEEF2F0"/>
        </patternFill>
      </fill>
    </dxf>
    <dxf>
      <font>
        <name val="Segoe UI"/>
        <charset val="1"/>
        <family val="0"/>
        <i val="1"/>
        <color rgb="FF8A97A0"/>
        <sz val="10"/>
      </font>
    </dxf>
    <dxf>
      <font>
        <name val="Segoe UI"/>
        <charset val="1"/>
        <family val="0"/>
        <b val="1"/>
        <color rgb="FF8A1F1F"/>
        <sz val="10"/>
      </font>
      <fill>
        <patternFill>
          <bgColor rgb="FFFFD9D9"/>
        </patternFill>
      </fill>
    </dxf>
    <dxf>
      <font>
        <name val="Segoe UI"/>
        <charset val="1"/>
        <family val="0"/>
        <b val="1"/>
        <color rgb="FFB00020"/>
        <sz val="10"/>
      </font>
      <fill>
        <patternFill>
          <bgColor rgb="FFF8D7DA"/>
        </patternFill>
      </fill>
    </dxf>
    <dxf>
      <font>
        <name val="Segoe UI"/>
        <charset val="1"/>
        <family val="0"/>
        <b val="1"/>
        <color rgb="FF8A1F1F"/>
        <sz val="10"/>
      </font>
      <border diagonalUp="false" diagonalDown="false">
        <left style="medium">
          <color rgb="FF8A1F1F"/>
        </left>
        <right style="medium">
          <color rgb="FF8A1F1F"/>
        </right>
        <top style="medium">
          <color rgb="FF8A1F1F"/>
        </top>
        <bottom style="medium">
          <color rgb="FF8A1F1F"/>
        </bottom>
        <diagonal/>
      </border>
    </dxf>
    <dxf>
      <fill>
        <patternFill>
          <bgColor rgb="FFFFD8A8"/>
        </patternFill>
      </fill>
    </dxf>
    <dxf>
      <fill>
        <patternFill>
          <bgColor rgb="FFFFF4DC"/>
        </patternFill>
      </fill>
    </dxf>
    <dxf>
      <fill>
        <patternFill>
          <bgColor rgb="FFFFF0C7"/>
        </patternFill>
      </fill>
    </dxf>
    <dxf>
      <fill>
        <patternFill patternType="solid">
          <fgColor rgb="FFE9F7F1"/>
          <bgColor rgb="FF000000"/>
        </patternFill>
      </fill>
    </dxf>
    <dxf>
      <fill>
        <patternFill patternType="solid">
          <fgColor rgb="FFF7FB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B5C47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>
          <bgColor rgb="FFFFF59D"/>
        </patternFill>
      </fill>
    </dxf>
    <dxf>
      <font>
        <name val="Segoe UI"/>
        <charset val="1"/>
        <family val="0"/>
        <color rgb="FF0B5C47"/>
        <sz val="10"/>
      </font>
    </dxf>
    <dxf>
      <font>
        <name val="Segoe UI"/>
        <charset val="1"/>
        <family val="0"/>
        <i val="1"/>
        <color rgb="FF6B7A84"/>
        <sz val="10"/>
      </font>
    </dxf>
    <dxf>
      <font>
        <name val="Segoe UI"/>
        <charset val="1"/>
        <family val="0"/>
        <b val="1"/>
        <color rgb="FFB00020"/>
        <sz val="10"/>
      </font>
    </dxf>
    <dxf>
      <font>
        <name val="Segoe UI"/>
        <charset val="1"/>
        <family val="0"/>
        <b val="1"/>
        <color rgb="FF8A1F1F"/>
        <sz val="9"/>
      </font>
      <fill>
        <patternFill>
          <bgColor rgb="FFFFD9D9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ont>
        <name val="Segoe UI"/>
        <charset val="1"/>
        <family val="0"/>
        <strike val="1"/>
        <color rgb="FF8A97A0"/>
        <sz val="10"/>
      </font>
    </dxf>
    <dxf>
      <fill>
        <patternFill>
          <bgColor rgb="FFFFD9D9"/>
        </patternFill>
      </fill>
    </dxf>
    <dxf>
      <font>
        <name val="Segoe UI"/>
        <charset val="1"/>
        <family val="0"/>
        <color rgb="FFFFFFFF"/>
        <sz val="10"/>
      </font>
    </dxf>
    <dxf>
      <font>
        <name val="Segoe UI"/>
        <charset val="1"/>
        <family val="0"/>
        <color rgb="FFB8C4BE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0C7"/>
      <rgbColor rgb="FFFF00FF"/>
      <rgbColor rgb="FFF9F9F9"/>
      <rgbColor rgb="FFB00020"/>
      <rgbColor rgb="FF008000"/>
      <rgbColor rgb="FF000080"/>
      <rgbColor rgb="FF7A5200"/>
      <rgbColor rgb="FF800080"/>
      <rgbColor rgb="FF0F8A6A"/>
      <rgbColor rgb="FFB8C4BE"/>
      <rgbColor rgb="FF878787"/>
      <rgbColor rgb="FFEEF2F0"/>
      <rgbColor rgb="FFC03A3A"/>
      <rgbColor rgb="FFFFF8E1"/>
      <rgbColor rgb="FFD6F2E6"/>
      <rgbColor rgb="FF660066"/>
      <rgbColor rgb="FFF3F4F6"/>
      <rgbColor rgb="FF0066CC"/>
      <rgbColor rgb="FFD9D9D9"/>
      <rgbColor rgb="FF000080"/>
      <rgbColor rgb="FFFF00FF"/>
      <rgbColor rgb="FFFFF4DC"/>
      <rgbColor rgb="FFFFFDF0"/>
      <rgbColor rgb="FF800080"/>
      <rgbColor rgb="FF800000"/>
      <rgbColor rgb="FF0D7359"/>
      <rgbColor rgb="FF0000FF"/>
      <rgbColor rgb="FF00CCFF"/>
      <rgbColor rgb="FFDFF3EA"/>
      <rgbColor rgb="FFD4EDDA"/>
      <rgbColor rgb="FFFFF59D"/>
      <rgbColor rgb="FFD9E7E0"/>
      <rgbColor rgb="FFF8D7DA"/>
      <rgbColor rgb="FFFFD9D9"/>
      <rgbColor rgb="FFFFD8A8"/>
      <rgbColor rgb="FF3366FF"/>
      <rgbColor rgb="FFF7FBF9"/>
      <rgbColor rgb="FFF3FBF7"/>
      <rgbColor rgb="FFE9F7F1"/>
      <rgbColor rgb="FFE0A020"/>
      <rgbColor rgb="FFFF6600"/>
      <rgbColor rgb="FF6B7A84"/>
      <rgbColor rgb="FF8A97A0"/>
      <rgbColor rgb="FF0B5C47"/>
      <rgbColor rgb="FF5B6B66"/>
      <rgbColor rgb="FF003300"/>
      <rgbColor rgb="FF555555"/>
      <rgbColor rgb="FF8A1F1F"/>
      <rgbColor rgb="FF993366"/>
      <rgbColor rgb="FF4B5A63"/>
      <rgbColor rgb="FF1E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Ending cash by month — Best / Likely / Worst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"Best"</c:f>
              <c:strCache>
                <c:ptCount val="1"/>
                <c:pt idx="0">
                  <c:v>Best</c:v>
                </c:pt>
              </c:strCache>
            </c:strRef>
          </c:tx>
          <c:spPr>
            <a:solidFill>
              <a:srgbClr val="0f8a6a"/>
            </a:solidFill>
            <a:ln w="21960">
              <a:solidFill>
                <a:srgbClr val="0f8a6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Forecast!$C$32:$V$32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"Likely"</c:f>
              <c:strCache>
                <c:ptCount val="1"/>
                <c:pt idx="0">
                  <c:v>Likely</c:v>
                </c:pt>
              </c:strCache>
            </c:strRef>
          </c:tx>
          <c:spPr>
            <a:solidFill>
              <a:srgbClr val="0b5c47"/>
            </a:solidFill>
            <a:ln w="21960">
              <a:solidFill>
                <a:srgbClr val="0b5c4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Forecast!$C$53:$V$53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"Worst"</c:f>
              <c:strCache>
                <c:ptCount val="1"/>
                <c:pt idx="0">
                  <c:v>Worst</c:v>
                </c:pt>
              </c:strCache>
            </c:strRef>
          </c:tx>
          <c:spPr>
            <a:solidFill>
              <a:srgbClr val="c03a3a"/>
            </a:solidFill>
            <a:ln w="21960">
              <a:solidFill>
                <a:srgbClr val="c0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Forecast!$C$74:$V$74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0969936"/>
        <c:axId val="47231685"/>
      </c:lineChart>
      <c:catAx>
        <c:axId val="70969936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231685"/>
        <c:crosses val="autoZero"/>
        <c:auto val="1"/>
        <c:lblAlgn val="ctr"/>
        <c:lblOffset val="100"/>
        <c:noMultiLvlLbl val="0"/>
      </c:catAx>
      <c:valAx>
        <c:axId val="4723168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96993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budget by group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Budget!T5</c:f>
              <c:strCache>
                <c:ptCount val="1"/>
                <c:pt idx="0">
                  <c:v>Current</c:v>
                </c:pt>
              </c:strCache>
            </c:strRef>
          </c:tx>
          <c:spPr>
            <a:solidFill>
              <a:srgbClr val="0f8a6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Budget!$S$6:$S$20</c:f>
              <c:strCache>
                <c:ptCount val="15"/>
                <c:pt idx="0">
                  <c:v>Housing</c:v>
                </c:pt>
                <c:pt idx="1">
                  <c:v>Utilities</c:v>
                </c:pt>
                <c:pt idx="2">
                  <c:v>Car &amp; transport</c:v>
                </c:pt>
                <c:pt idx="3">
                  <c:v>Food</c:v>
                </c:pt>
                <c:pt idx="4">
                  <c:v>Health</c:v>
                </c:pt>
                <c:pt idx="5">
                  <c:v>Insurance</c:v>
                </c:pt>
                <c:pt idx="6">
                  <c:v>Debt</c:v>
                </c:pt>
                <c:pt idx="7">
                  <c:v>Family</c:v>
                </c:pt>
                <c:pt idx="8">
                  <c:v>Living</c:v>
                </c:pt>
                <c:pt idx="9">
                  <c:v>Subscriptions</c:v>
                </c:pt>
                <c:pt idx="10">
                  <c:v>Fun</c:v>
                </c:pt>
                <c:pt idx="11">
                  <c:v>Savings</c:v>
                </c:pt>
                <c:pt idx="12">
                  <c:v>Taxes</c:v>
                </c:pt>
                <c:pt idx="13">
                  <c:v>Business</c:v>
                </c:pt>
                <c:pt idx="14">
                  <c:v>Other</c:v>
                </c:pt>
              </c:strCache>
            </c:strRef>
          </c:cat>
          <c:val>
            <c:numRef>
              <c:f>Budget!$T$6:$T$20</c:f>
              <c:numCache>
                <c:formatCode>#,##0;\(#,##0\);\-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gapWidth val="150"/>
        <c:overlap val="0"/>
        <c:axId val="55736969"/>
        <c:axId val="25537918"/>
      </c:barChart>
      <c:catAx>
        <c:axId val="557369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537918"/>
        <c:crosses val="autoZero"/>
        <c:auto val="1"/>
        <c:lblAlgn val="ctr"/>
        <c:lblOffset val="100"/>
        <c:noMultiLvlLbl val="0"/>
      </c:catAx>
      <c:valAx>
        <c:axId val="2553791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7369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What makes up net worth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Accounts!L13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0f8a6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Accounts!$K$14:$K$20</c:f>
              <c:strCache>
                <c:ptCount val="7"/>
                <c:pt idx="0">
                  <c:v>Cash</c:v>
                </c:pt>
                <c:pt idx="1">
                  <c:v>Retirement</c:v>
                </c:pt>
                <c:pt idx="2">
                  <c:v>Home</c:v>
                </c:pt>
                <c:pt idx="3">
                  <c:v>Vehicle</c:v>
                </c:pt>
                <c:pt idx="4">
                  <c:v>Mortgage</c:v>
                </c:pt>
                <c:pt idx="5">
                  <c:v>Vehicle loan</c:v>
                </c:pt>
                <c:pt idx="6">
                  <c:v>Card balances</c:v>
                </c:pt>
              </c:strCache>
            </c:strRef>
          </c:cat>
          <c:val>
            <c:numRef>
              <c:f>Accounts!$L$14:$L$20</c:f>
              <c:numCache>
                <c:formatCode>#,##0;\(#,##0\);\-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</c:v>
                </c:pt>
                <c:pt idx="5">
                  <c:v>-0</c:v>
                </c:pt>
                <c:pt idx="6">
                  <c:v>-0</c:v>
                </c:pt>
              </c:numCache>
            </c:numRef>
          </c:val>
        </c:ser>
        <c:gapWidth val="150"/>
        <c:overlap val="0"/>
        <c:axId val="99065830"/>
        <c:axId val="8184151"/>
      </c:barChart>
      <c:catAx>
        <c:axId val="990658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84151"/>
        <c:crosses val="autoZero"/>
        <c:auto val="1"/>
        <c:lblAlgn val="ctr"/>
        <c:lblOffset val="100"/>
        <c:noMultiLvlLbl val="0"/>
      </c:catAx>
      <c:valAx>
        <c:axId val="8184151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0658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worth by month (from Snapshots)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Snapshots!G4</c:f>
              <c:strCache>
                <c:ptCount val="1"/>
                <c:pt idx="0">
                  <c:v>Net worth</c:v>
                </c:pt>
              </c:strCache>
            </c:strRef>
          </c:tx>
          <c:spPr>
            <a:solidFill>
              <a:srgbClr val="0b5c47"/>
            </a:solidFill>
            <a:ln w="21960">
              <a:solidFill>
                <a:srgbClr val="0b5c4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Snapshots!$B$5:$B$44</c:f>
              <c:strCache>
                <c:ptCount val="4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Snapshots!$G$5:$G$44</c:f>
              <c:numCache>
                <c:formatCode>General</c:formatCode>
                <c:ptCount val="40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125489"/>
        <c:axId val="86170174"/>
      </c:lineChart>
      <c:catAx>
        <c:axId val="2125489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170174"/>
        <c:crosses val="autoZero"/>
        <c:auto val="1"/>
        <c:lblAlgn val="ctr"/>
        <c:lblOffset val="100"/>
        <c:noMultiLvlLbl val="0"/>
      </c:catAx>
      <c:valAx>
        <c:axId val="861701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254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Ending cash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"Best"</c:f>
              <c:strCache>
                <c:ptCount val="1"/>
                <c:pt idx="0">
                  <c:v>Best</c:v>
                </c:pt>
              </c:strCache>
            </c:strRef>
          </c:tx>
          <c:spPr>
            <a:solidFill>
              <a:srgbClr val="0f8a6a"/>
            </a:solidFill>
            <a:ln w="21960">
              <a:solidFill>
                <a:srgbClr val="0f8a6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Forecast!$C$32:$V$32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"Likely"</c:f>
              <c:strCache>
                <c:ptCount val="1"/>
                <c:pt idx="0">
                  <c:v>Likely</c:v>
                </c:pt>
              </c:strCache>
            </c:strRef>
          </c:tx>
          <c:spPr>
            <a:solidFill>
              <a:srgbClr val="0b5c47"/>
            </a:solidFill>
            <a:ln w="21960">
              <a:solidFill>
                <a:srgbClr val="0b5c4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Forecast!$C$53:$V$53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"Worst"</c:f>
              <c:strCache>
                <c:ptCount val="1"/>
                <c:pt idx="0">
                  <c:v>Worst</c:v>
                </c:pt>
              </c:strCache>
            </c:strRef>
          </c:tx>
          <c:spPr>
            <a:solidFill>
              <a:srgbClr val="c03a3a"/>
            </a:solidFill>
            <a:ln w="21960">
              <a:solidFill>
                <a:srgbClr val="c0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Forecast!$C$3:$V$3</c:f>
              <c:multiLvlStrCache>
                <c:ptCount val="1"/>
                <c:lvl>
                  <c:pt idx="0">
                    <c:v>May 2028</c:v>
                  </c:pt>
                </c:lvl>
                <c:lvl>
                  <c:pt idx="0">
                    <c:v>Apr 2028</c:v>
                  </c:pt>
                </c:lvl>
                <c:lvl>
                  <c:pt idx="0">
                    <c:v>Mar 2028</c:v>
                  </c:pt>
                </c:lvl>
                <c:lvl>
                  <c:pt idx="0">
                    <c:v>Feb 2028</c:v>
                  </c:pt>
                </c:lvl>
                <c:lvl>
                  <c:pt idx="0">
                    <c:v>Jan 2028</c:v>
                  </c:pt>
                </c:lvl>
                <c:lvl>
                  <c:pt idx="0">
                    <c:v>Dec 2027</c:v>
                  </c:pt>
                </c:lvl>
                <c:lvl>
                  <c:pt idx="0">
                    <c:v>Nov 2027</c:v>
                  </c:pt>
                </c:lvl>
                <c:lvl>
                  <c:pt idx="0">
                    <c:v>Oct 2027</c:v>
                  </c:pt>
                </c:lvl>
                <c:lvl>
                  <c:pt idx="0">
                    <c:v>Sep 2027</c:v>
                  </c:pt>
                </c:lvl>
                <c:lvl>
                  <c:pt idx="0">
                    <c:v>Aug 2027</c:v>
                  </c:pt>
                </c:lvl>
                <c:lvl>
                  <c:pt idx="0">
                    <c:v>Jul 2027</c:v>
                  </c:pt>
                </c:lvl>
                <c:lvl>
                  <c:pt idx="0">
                    <c:v>Jun 2027</c:v>
                  </c:pt>
                </c:lvl>
                <c:lvl>
                  <c:pt idx="0">
                    <c:v>May 2027</c:v>
                  </c:pt>
                </c:lvl>
                <c:lvl>
                  <c:pt idx="0">
                    <c:v>Apr 2027</c:v>
                  </c:pt>
                </c:lvl>
                <c:lvl>
                  <c:pt idx="0">
                    <c:v>Mar 2027</c:v>
                  </c:pt>
                </c:lvl>
                <c:lvl>
                  <c:pt idx="0">
                    <c:v>Feb 2027</c:v>
                  </c:pt>
                </c:lvl>
                <c:lvl>
                  <c:pt idx="0">
                    <c:v>Jan 2027</c:v>
                  </c:pt>
                </c:lvl>
                <c:lvl>
                  <c:pt idx="0">
                    <c:v>Dec 2026</c:v>
                  </c:pt>
                </c:lvl>
                <c:lvl>
                  <c:pt idx="0">
                    <c:v>Nov 2026</c:v>
                  </c:pt>
                </c:lvl>
                <c:lvl>
                  <c:pt idx="0">
                    <c:v>Oct 2026</c:v>
                  </c:pt>
                </c:lvl>
              </c:multiLvlStrCache>
            </c:multiLvlStrRef>
          </c:cat>
          <c:val>
            <c:numRef>
              <c:f>Forecast!$C$74:$V$74</c:f>
              <c:numCache>
                <c:formatCode>#,##0;\(#,##0\);\-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3476684"/>
        <c:axId val="2006415"/>
      </c:lineChart>
      <c:catAx>
        <c:axId val="13476684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06415"/>
        <c:crosses val="autoZero"/>
        <c:auto val="1"/>
        <c:lblAlgn val="ctr"/>
        <c:lblOffset val="100"/>
        <c:noMultiLvlLbl val="0"/>
      </c:catAx>
      <c:valAx>
        <c:axId val="20064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47668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Spending by month vs budget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f8a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'Year View'!$C$4:$N$4</c:f>
              <c:strCache>
                <c:ptCount val="12"/>
                <c:pt idx="0">
                  <c:v>Oct 2026</c:v>
                </c:pt>
                <c:pt idx="1">
                  <c:v>Nov 2026</c:v>
                </c:pt>
                <c:pt idx="2">
                  <c:v>Dec 2026</c:v>
                </c:pt>
                <c:pt idx="3">
                  <c:v>Jan 2027</c:v>
                </c:pt>
                <c:pt idx="4">
                  <c:v>Feb 2027</c:v>
                </c:pt>
                <c:pt idx="5">
                  <c:v>Mar 2027</c:v>
                </c:pt>
                <c:pt idx="6">
                  <c:v>Apr 2027</c:v>
                </c:pt>
                <c:pt idx="7">
                  <c:v>May 2027</c:v>
                </c:pt>
                <c:pt idx="8">
                  <c:v>Jun 2027</c:v>
                </c:pt>
                <c:pt idx="9">
                  <c:v>Jul 2027</c:v>
                </c:pt>
                <c:pt idx="10">
                  <c:v>Aug 2027</c:v>
                </c:pt>
                <c:pt idx="11">
                  <c:v>Sep 2027</c:v>
                </c:pt>
              </c:strCache>
            </c:strRef>
          </c:cat>
          <c:val>
            <c:numRef>
              <c:f>'Year View'!$C$36:$N$36</c:f>
              <c:numCache>
                <c:formatCode>#,##0;\(#,##0\);\-</c:formatCode>
                <c:ptCount val="12"/>
                <c:pt idx="0">
                  <c:v>86.42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7376939"/>
        <c:axId val="76086321"/>
      </c:barChart>
      <c:catAx>
        <c:axId val="97376939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086321"/>
        <c:crosses val="autoZero"/>
        <c:auto val="1"/>
        <c:lblAlgn val="ctr"/>
        <c:lblOffset val="100"/>
        <c:noMultiLvlLbl val="0"/>
      </c:catAx>
      <c:valAx>
        <c:axId val="760863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37693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77</xdr:row>
      <xdr:rowOff>0</xdr:rowOff>
    </xdr:from>
    <xdr:to>
      <xdr:col>10</xdr:col>
      <xdr:colOff>435600</xdr:colOff>
      <xdr:row>90</xdr:row>
      <xdr:rowOff>28080</xdr:rowOff>
    </xdr:to>
    <xdr:graphicFrame>
      <xdr:nvGraphicFramePr>
        <xdr:cNvPr id="0" name="Chart 1"/>
        <xdr:cNvGraphicFramePr/>
      </xdr:nvGraphicFramePr>
      <xdr:xfrm>
        <a:off x="70560" y="11410920"/>
        <a:ext cx="899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0</xdr:colOff>
      <xdr:row>45</xdr:row>
      <xdr:rowOff>0</xdr:rowOff>
    </xdr:from>
    <xdr:to>
      <xdr:col>23</xdr:col>
      <xdr:colOff>153360</xdr:colOff>
      <xdr:row>59</xdr:row>
      <xdr:rowOff>32760</xdr:rowOff>
    </xdr:to>
    <xdr:graphicFrame>
      <xdr:nvGraphicFramePr>
        <xdr:cNvPr id="1" name="Chart 1"/>
        <xdr:cNvGraphicFramePr/>
      </xdr:nvGraphicFramePr>
      <xdr:xfrm>
        <a:off x="16634520" y="9353520"/>
        <a:ext cx="39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34</xdr:row>
      <xdr:rowOff>0</xdr:rowOff>
    </xdr:from>
    <xdr:to>
      <xdr:col>4</xdr:col>
      <xdr:colOff>402840</xdr:colOff>
      <xdr:row>47</xdr:row>
      <xdr:rowOff>43200</xdr:rowOff>
    </xdr:to>
    <xdr:graphicFrame>
      <xdr:nvGraphicFramePr>
        <xdr:cNvPr id="2" name="Chart 1"/>
        <xdr:cNvGraphicFramePr/>
      </xdr:nvGraphicFramePr>
      <xdr:xfrm>
        <a:off x="0" y="726768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34</xdr:row>
      <xdr:rowOff>0</xdr:rowOff>
    </xdr:from>
    <xdr:to>
      <xdr:col>10</xdr:col>
      <xdr:colOff>880920</xdr:colOff>
      <xdr:row>47</xdr:row>
      <xdr:rowOff>43200</xdr:rowOff>
    </xdr:to>
    <xdr:graphicFrame>
      <xdr:nvGraphicFramePr>
        <xdr:cNvPr id="3" name="Chart 2"/>
        <xdr:cNvGraphicFramePr/>
      </xdr:nvGraphicFramePr>
      <xdr:xfrm>
        <a:off x="6977880" y="726768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78</xdr:row>
      <xdr:rowOff>0</xdr:rowOff>
    </xdr:from>
    <xdr:to>
      <xdr:col>12</xdr:col>
      <xdr:colOff>86040</xdr:colOff>
      <xdr:row>91</xdr:row>
      <xdr:rowOff>43200</xdr:rowOff>
    </xdr:to>
    <xdr:graphicFrame>
      <xdr:nvGraphicFramePr>
        <xdr:cNvPr id="4" name="Chart 1"/>
        <xdr:cNvGraphicFramePr/>
      </xdr:nvGraphicFramePr>
      <xdr:xfrm>
        <a:off x="0" y="15230520"/>
        <a:ext cx="107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38</xdr:row>
      <xdr:rowOff>0</xdr:rowOff>
    </xdr:from>
    <xdr:to>
      <xdr:col>11</xdr:col>
      <xdr:colOff>126000</xdr:colOff>
      <xdr:row>51</xdr:row>
      <xdr:rowOff>43200</xdr:rowOff>
    </xdr:to>
    <xdr:graphicFrame>
      <xdr:nvGraphicFramePr>
        <xdr:cNvPr id="5" name="Chart 1"/>
        <xdr:cNvGraphicFramePr/>
      </xdr:nvGraphicFramePr>
      <xdr:xfrm>
        <a:off x="0" y="7763040"/>
        <a:ext cx="93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hyperlink" Target="Runway_Template.xlsx" TargetMode="External"/><Relationship Id="rId5" Type="http://schemas.openxmlformats.org/officeDocument/2006/relationships/hyperlink" Target="Runway_Template.xlsx" TargetMode="External"/><Relationship Id="rId6" Type="http://schemas.openxmlformats.org/officeDocument/2006/relationships/hyperlink" Target="Runway_Template.xlsx" TargetMode="External"/><Relationship Id="rId7" Type="http://schemas.openxmlformats.org/officeDocument/2006/relationships/hyperlink" Target="Runway_Template.xlsx" TargetMode="External"/><Relationship Id="rId8" Type="http://schemas.openxmlformats.org/officeDocument/2006/relationships/hyperlink" Target="Runway_Template.xlsx" TargetMode="External"/><Relationship Id="rId9" Type="http://schemas.openxmlformats.org/officeDocument/2006/relationships/hyperlink" Target="Runway_Template.xlsx" TargetMode="External"/><Relationship Id="rId10" Type="http://schemas.openxmlformats.org/officeDocument/2006/relationships/hyperlink" Target="Runway_Template.xlsx" TargetMode="External"/><Relationship Id="rId11" Type="http://schemas.openxmlformats.org/officeDocument/2006/relationships/hyperlink" Target="Runway_Template.xlsx" TargetMode="External"/><Relationship Id="rId12" Type="http://schemas.openxmlformats.org/officeDocument/2006/relationships/hyperlink" Target="Runway_Template.xlsx" TargetMode="External"/><Relationship Id="rId13" Type="http://schemas.openxmlformats.org/officeDocument/2006/relationships/hyperlink" Target="Runway_Template.xlsx" TargetMode="External"/><Relationship Id="rId14" Type="http://schemas.openxmlformats.org/officeDocument/2006/relationships/hyperlink" Target="Runway_Template.xlsx" TargetMode="External"/><Relationship Id="rId15" Type="http://schemas.openxmlformats.org/officeDocument/2006/relationships/hyperlink" Target="Runway_Template.xlsx" TargetMode="External"/><Relationship Id="rId16" Type="http://schemas.openxmlformats.org/officeDocument/2006/relationships/hyperlink" Target="Runway_Template.xlsx" TargetMode="External"/><Relationship Id="rId17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3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4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5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drawing" Target="../drawings/drawing3.xml"/><Relationship Id="rId5" Type="http://schemas.openxmlformats.org/officeDocument/2006/relationships/vmlDrawing" Target="../drawings/vmlDrawing6.v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drawing" Target="../drawings/drawing4.xml"/><Relationship Id="rId5" Type="http://schemas.openxmlformats.org/officeDocument/2006/relationships/vmlDrawing" Target="../drawings/vmlDrawing7.v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drawing" Target="../drawings/drawing5.xml"/><Relationship Id="rId5" Type="http://schemas.openxmlformats.org/officeDocument/2006/relationships/vmlDrawing" Target="../drawings/vmlDrawing8.v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9.v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10.v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11.v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comments" Target="../comments22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drawing" Target="../drawings/drawing6.xml"/><Relationship Id="rId5" Type="http://schemas.openxmlformats.org/officeDocument/2006/relationships/vmlDrawing" Target="../drawings/vmlDrawing12.v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comments" Target="../comments23.xml"/><Relationship Id="rId2" Type="http://schemas.openxmlformats.org/officeDocument/2006/relationships/hyperlink" Target="Runway_Template.xlsx" TargetMode="External"/><Relationship Id="rId3" Type="http://schemas.openxmlformats.org/officeDocument/2006/relationships/hyperlink" Target="Runway_Template.xlsx" TargetMode="External"/><Relationship Id="rId4" Type="http://schemas.openxmlformats.org/officeDocument/2006/relationships/vmlDrawing" Target="../drawings/vmlDrawing13.v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hyperlink" Target="Runway_Template.xlsx" TargetMode="External"/><Relationship Id="rId2" Type="http://schemas.openxmlformats.org/officeDocument/2006/relationships/hyperlink" Target="Runway_Template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4" min="2" style="0" width="30"/>
    <col collapsed="false" customWidth="true" hidden="false" outlineLevel="0" max="5" min="5" style="0" width="2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4"/>
      <c r="I1" s="3"/>
      <c r="J1" s="3"/>
      <c r="K1" s="3"/>
      <c r="L1" s="3"/>
    </row>
    <row r="2" customFormat="false" ht="36" hidden="false" customHeight="true" outlineLevel="0" collapsed="false">
      <c r="A2" s="5"/>
      <c r="B2" s="6" t="s">
        <v>2</v>
      </c>
      <c r="C2" s="7"/>
      <c r="D2" s="7"/>
      <c r="E2" s="7"/>
    </row>
    <row r="3" customFormat="false" ht="19.5" hidden="false" customHeight="true" outlineLevel="0" collapsed="false">
      <c r="A3" s="7"/>
      <c r="B3" s="8" t="s">
        <v>3</v>
      </c>
      <c r="C3" s="8"/>
      <c r="D3" s="8"/>
      <c r="E3" s="7"/>
    </row>
    <row r="5" customFormat="false" ht="15" hidden="false" customHeight="false" outlineLevel="0" collapsed="false">
      <c r="B5" s="9" t="s">
        <v>4</v>
      </c>
    </row>
    <row r="6" customFormat="false" ht="39.75" hidden="false" customHeight="true" outlineLevel="0" collapsed="false">
      <c r="B6" s="10" t="s">
        <v>5</v>
      </c>
      <c r="C6" s="11" t="s">
        <v>6</v>
      </c>
      <c r="D6" s="11" t="s">
        <v>7</v>
      </c>
    </row>
    <row r="7" customFormat="false" ht="23.85" hidden="false" customHeight="false" outlineLevel="0" collapsed="false">
      <c r="B7" s="12" t="s">
        <v>8</v>
      </c>
      <c r="C7" s="12" t="s">
        <v>9</v>
      </c>
      <c r="D7" s="12" t="s">
        <v>10</v>
      </c>
    </row>
    <row r="8" customFormat="false" ht="15" hidden="false" customHeight="false" outlineLevel="0" collapsed="false">
      <c r="B8" s="13" t="s">
        <v>11</v>
      </c>
      <c r="C8" s="13"/>
      <c r="D8" s="13"/>
    </row>
    <row r="10" customFormat="false" ht="15" hidden="false" customHeight="false" outlineLevel="0" collapsed="false">
      <c r="B10" s="9" t="s">
        <v>12</v>
      </c>
    </row>
    <row r="11" customFormat="false" ht="15" hidden="false" customHeight="false" outlineLevel="0" collapsed="false">
      <c r="B11" s="14" t="s">
        <v>13</v>
      </c>
    </row>
    <row r="12" customFormat="false" ht="15" hidden="false" customHeight="false" outlineLevel="0" collapsed="false">
      <c r="B12" s="14" t="s">
        <v>14</v>
      </c>
    </row>
    <row r="13" customFormat="false" ht="15" hidden="false" customHeight="false" outlineLevel="0" collapsed="false">
      <c r="B13" s="14" t="s">
        <v>15</v>
      </c>
    </row>
    <row r="14" customFormat="false" ht="15" hidden="false" customHeight="false" outlineLevel="0" collapsed="false">
      <c r="B14" s="14" t="s">
        <v>16</v>
      </c>
    </row>
    <row r="15" customFormat="false" ht="15" hidden="false" customHeight="false" outlineLevel="0" collapsed="false">
      <c r="B15" s="14" t="s">
        <v>17</v>
      </c>
    </row>
    <row r="16" customFormat="false" ht="15" hidden="false" customHeight="false" outlineLevel="0" collapsed="false">
      <c r="B16" s="14" t="s">
        <v>18</v>
      </c>
    </row>
    <row r="18" customFormat="false" ht="15" hidden="false" customHeight="false" outlineLevel="0" collapsed="false">
      <c r="B18" s="9" t="s">
        <v>19</v>
      </c>
    </row>
    <row r="19" customFormat="false" ht="15" hidden="false" customHeight="false" outlineLevel="0" collapsed="false">
      <c r="B19" s="15" t="s">
        <v>20</v>
      </c>
      <c r="C19" s="15"/>
      <c r="D19" s="15"/>
    </row>
    <row r="21" customFormat="false" ht="15" hidden="false" customHeight="false" outlineLevel="0" collapsed="false">
      <c r="B21" s="16" t="str">
        <f aca="false">"Version "&amp;About!$B$5&amp;"   ·   "&amp;About!$B$6</f>
        <v>Version 1.2   ·   2026-10-13</v>
      </c>
    </row>
  </sheetData>
  <sheetProtection sheet="true" scenarios="true" formatCells="false" formatColumns="false" formatRows="false" sort="false" autoFilter="false"/>
  <mergeCells count="3">
    <mergeCell ref="B3:D3"/>
    <mergeCell ref="B8:D8"/>
    <mergeCell ref="B19:D19"/>
  </mergeCells>
  <hyperlinks>
    <hyperlink ref="A1" r:id="rId1" location="'Home'!A1" display="⌂ Home"/>
    <hyperlink ref="B1" r:id="rId2" location="'Dashboard'!A1" display="Dashboard"/>
    <hyperlink ref="B6" r:id="rId3" location="'Setup'!B5" display="①  Start setup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Welcome&amp;R&amp;8 Page &amp;P of &amp;N · 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9" min="2" style="0" width="15"/>
    <col collapsed="false" customWidth="true" hidden="false" outlineLevel="0" max="10" min="10" style="0" width="2"/>
  </cols>
  <sheetData>
    <row r="1" customFormat="false" ht="33.75" hidden="false" customHeight="true" outlineLevel="0" collapsed="false">
      <c r="A1" s="17"/>
      <c r="B1" s="18" t="s">
        <v>21</v>
      </c>
      <c r="C1" s="19" t="s">
        <v>1</v>
      </c>
      <c r="D1" s="19" t="s">
        <v>22</v>
      </c>
      <c r="E1" s="19" t="s">
        <v>23</v>
      </c>
      <c r="F1" s="19" t="s">
        <v>24</v>
      </c>
      <c r="G1" s="19" t="s">
        <v>25</v>
      </c>
      <c r="H1" s="19" t="s">
        <v>26</v>
      </c>
      <c r="I1" s="19" t="s">
        <v>27</v>
      </c>
      <c r="J1" s="17"/>
    </row>
    <row r="2" customFormat="false" ht="27.75" hidden="false" customHeight="true" outlineLevel="0" collapsed="false">
      <c r="B2" s="20" t="str">
        <f aca="false">"Runway — "&amp;IF(Setup!$B$5="","household plan",Setup!$B$5&amp;IF(Setup!$B$6="",""," &amp; "&amp;Setup!$B$6)&amp;"'s plan")</f>
        <v>Runway — household plan</v>
      </c>
      <c r="F2" s="21" t="str">
        <f aca="false">"Updated "&amp;TEXT(Inputs!$B$9,"mmm d, yyyy")&amp;IF(Setup!$B$17="",""," · "&amp;TEXT(Inputs!$B$10,"0")&amp;" days to "&amp;TEXT(Inputs!$B$6,"mmm d, yyyy"))&amp;" · Likely case · "&amp;Setup!$B$8</f>
        <v>Updated Oct 13, 2026 · Likely case · USD</v>
      </c>
    </row>
    <row r="4" customFormat="false" ht="15.75" hidden="false" customHeight="true" outlineLevel="0" collapsed="false">
      <c r="B4" s="22" t="s">
        <v>28</v>
      </c>
      <c r="C4" s="22"/>
      <c r="D4" s="22" t="s">
        <v>29</v>
      </c>
      <c r="E4" s="22"/>
      <c r="F4" s="22" t="s">
        <v>30</v>
      </c>
      <c r="G4" s="22"/>
      <c r="H4" s="22" t="s">
        <v>31</v>
      </c>
      <c r="I4" s="22"/>
    </row>
    <row r="5" customFormat="false" ht="30" hidden="false" customHeight="true" outlineLevel="0" collapsed="false">
      <c r="B5" s="23" t="n">
        <f aca="false">Inputs!$B$8</f>
        <v>0</v>
      </c>
      <c r="C5" s="23"/>
      <c r="D5" s="23" t="n">
        <f aca="false">Inputs!$B$16+Forecast!C41-Budget!$C$38</f>
        <v>0</v>
      </c>
      <c r="E5" s="23"/>
      <c r="F5" s="24" t="str">
        <f aca="false">TEXT(Accounts!$F$15,"#,##0")&amp;IF(Inputs!$B$58=0,""," / "&amp;TEXT(Inputs!$B$58,"#,##0"))</f>
        <v>0</v>
      </c>
      <c r="G5" s="24"/>
      <c r="H5" s="25" t="str">
        <f aca="false">IF(Setup!$B$17="","—",Inputs!$B$10)</f>
        <v>—</v>
      </c>
      <c r="I5" s="25"/>
    </row>
    <row r="7" customFormat="false" ht="18.75" hidden="false" customHeight="true" outlineLevel="0" collapsed="false">
      <c r="B7" s="26" t="s">
        <v>32</v>
      </c>
      <c r="C7" s="17"/>
      <c r="D7" s="17"/>
      <c r="E7" s="17"/>
      <c r="F7" s="17"/>
      <c r="G7" s="17"/>
      <c r="H7" s="17"/>
      <c r="I7" s="17"/>
    </row>
    <row r="8" customFormat="false" ht="18" hidden="false" customHeight="true" outlineLevel="0" collapsed="false">
      <c r="B8" s="27" t="s">
        <v>33</v>
      </c>
      <c r="C8" s="27"/>
      <c r="D8" s="27"/>
      <c r="E8" s="28" t="str">
        <f aca="true">TEXT(IFERROR(INDEX('Monthly Actuals'!$F$36:$Y$36,MATCH(DATE(YEAR(TODAY()),MONTH(TODAY()),1),Forecast!$C$3:$V$3,0)),0),"#,##0")&amp;" of "&amp;TEXT(Budget!$C$38,"#,##0")</f>
        <v>86 of 0</v>
      </c>
      <c r="F8" s="28"/>
      <c r="G8" s="28"/>
      <c r="H8" s="28"/>
      <c r="I8" s="29" t="str">
        <f aca="true">IF(Budget!$C$38=0,"",IF(IFERROR(INDEX('Monthly Actuals'!$F$36:$Y$36,MATCH(DATE(YEAR(TODAY()),MONTH(TODAY()),1),Forecast!$C$3:$V$3,0)),0)/Budget!$C$38&lt;=DAY(TODAY())/DAY(EOMONTH(TODAY(),0))+0.05,"on pace","ahead of pace"))</f>
        <v/>
      </c>
      <c r="J8" s="30" t="n">
        <f aca="true">IF(Budget!$C$38=0,1,IF(IFERROR(INDEX('Monthly Actuals'!$F$36:$Y$36,MATCH(DATE(YEAR(TODAY()),MONTH(TODAY()),1),Forecast!$C$3:$V$3,0)),0)/Budget!$C$38&lt;=DAY(TODAY())/DAY(EOMONTH(TODAY(),0))+0.05,1,2))</f>
        <v>1</v>
      </c>
    </row>
    <row r="9" customFormat="false" ht="18" hidden="false" customHeight="true" outlineLevel="0" collapsed="false">
      <c r="B9" s="27" t="s">
        <v>34</v>
      </c>
      <c r="C9" s="27"/>
      <c r="D9" s="27"/>
      <c r="E9" s="28" t="str">
        <f aca="false">TEXT('Debts &amp; Credit'!$D$28,"#,##0")&amp;IF(COUNTA(Snapshots!$A$5:$A$44)&lt;1," · no snapshot yet",IF('Debts &amp; Credit'!$D$28-IF(COUNTA(Snapshots!$A$5:$A$44)&lt;1,0,INDEX(Snapshots!$D$5:$D$44,COUNTA(Snapshots!$A$5:$A$44)))&lt;0," ▼ "," ▲ ")&amp;TEXT(ABS('Debts &amp; Credit'!$D$28-IF(COUNTA(Snapshots!$A$5:$A$44)&lt;1,0,INDEX(Snapshots!$D$5:$D$44,COUNTA(Snapshots!$A$5:$A$44)))),"#,##0")&amp;" since snapshot")</f>
        <v>0 · no snapshot yet</v>
      </c>
      <c r="F9" s="28"/>
      <c r="G9" s="28"/>
      <c r="H9" s="28"/>
      <c r="I9" s="29" t="str">
        <f aca="false">IF(COUNTA(Snapshots!$A$5:$A$44)&lt;1,"—",IF('Debts &amp; Credit'!$D$28-IF(COUNTA(Snapshots!$A$5:$A$44)&lt;1,0,INDEX(Snapshots!$D$5:$D$44,COUNTA(Snapshots!$A$5:$A$44)))&lt;=0,"falling","rising"))</f>
        <v>—</v>
      </c>
      <c r="J9" s="30" t="n">
        <f aca="false">IF(COUNTA(Snapshots!$A$5:$A$44)&lt;1,1,IF('Debts &amp; Credit'!$D$28-IF(COUNTA(Snapshots!$A$5:$A$44)&lt;1,0,INDEX(Snapshots!$D$5:$D$44,COUNTA(Snapshots!$A$5:$A$44)))&lt;=0,1,2))</f>
        <v>1</v>
      </c>
    </row>
    <row r="10" customFormat="false" ht="18" hidden="false" customHeight="true" outlineLevel="0" collapsed="false">
      <c r="B10" s="27" t="s">
        <v>35</v>
      </c>
      <c r="C10" s="27"/>
      <c r="D10" s="27"/>
      <c r="E10" s="28" t="str">
        <f aca="false">IFERROR(IF(MAX('Monthly Actuals'!$D$5:$D$34)&lt;=0,"nothing over budget",INDEX('Monthly Actuals'!$A$5:$A$34,MATCH(MAX('Monthly Actuals'!$D$5:$D$34),'Monthly Actuals'!$D$5:$D$34,0))&amp;" by "&amp;TEXT(MAX('Monthly Actuals'!$D$5:$D$34),"#,##0")),"—")</f>
        <v>Groceries &amp; household by 86</v>
      </c>
      <c r="F10" s="28"/>
      <c r="G10" s="28"/>
      <c r="H10" s="28"/>
      <c r="I10" s="29" t="str">
        <f aca="false">IF(IFERROR(MAX('Monthly Actuals'!$D$5:$D$34),0)&lt;=0,"ok","over")</f>
        <v>over</v>
      </c>
      <c r="J10" s="30" t="n">
        <f aca="false">IF(IFERROR(MAX('Monthly Actuals'!$D$5:$D$34),0)&lt;=0,1,2)</f>
        <v>2</v>
      </c>
    </row>
    <row r="11" customFormat="false" ht="18" hidden="false" customHeight="true" outlineLevel="0" collapsed="false">
      <c r="B11" s="27" t="s">
        <v>36</v>
      </c>
      <c r="C11" s="27"/>
      <c r="D11" s="27"/>
      <c r="E11" s="28" t="str">
        <f aca="false">COUNTIF('Expense Log'!$F$5:$F$604,"Uncategorized")&amp;" to fix"</f>
        <v>0 to fix</v>
      </c>
      <c r="F11" s="28"/>
      <c r="G11" s="28"/>
      <c r="H11" s="28"/>
      <c r="I11" s="29" t="str">
        <f aca="false">IF(COUNTIF('Expense Log'!$F$5:$F$604,"Uncategorized")=0,"clean","fix")</f>
        <v>clean</v>
      </c>
      <c r="J11" s="30" t="n">
        <f aca="false">IF(COUNTIF('Expense Log'!$F$5:$F$604,"Uncategorized")=0,1,2)</f>
        <v>1</v>
      </c>
    </row>
    <row r="12" customFormat="false" ht="18" hidden="false" customHeight="true" outlineLevel="0" collapsed="false">
      <c r="B12" s="27" t="s">
        <v>37</v>
      </c>
      <c r="C12" s="27"/>
      <c r="D12" s="27"/>
      <c r="E12" s="28" t="str">
        <f aca="false">TEXT(MIN(Forecast!$C$74:$V$74),"#,##0")&amp;" · "&amp;TEXT(INDEX(Forecast!$C$3:$V$3,MATCH(MIN(Forecast!$C$74:$V$74),Forecast!$C$74:$V$74,0)),"mmm yyyy")</f>
        <v>0 · Oct 2026</v>
      </c>
      <c r="F12" s="28"/>
      <c r="G12" s="28"/>
      <c r="H12" s="28"/>
      <c r="I12" s="29" t="str">
        <f aca="false">IF(MIN(Forecast!$C$74:$V$74)&lt;2000,"tight","watch")</f>
        <v>tight</v>
      </c>
      <c r="J12" s="30" t="n">
        <f aca="false">IF(MIN(Forecast!$C$74:$V$74)&lt;2000,3,2)</f>
        <v>3</v>
      </c>
    </row>
    <row r="13" customFormat="false" ht="18" hidden="false" customHeight="true" outlineLevel="0" collapsed="false">
      <c r="B13" s="27" t="s">
        <v>38</v>
      </c>
      <c r="C13" s="27"/>
      <c r="D13" s="27"/>
      <c r="E13" s="28" t="str">
        <f aca="true">COUNTIFS('Action Plan'!$E$5:$E$19,"&lt;&gt;Done",'Action Plan'!$C$5:$C$19,"*"&amp;TEXT(TODAY(),"mmm yyyy")&amp;"*")&amp;" open · "&amp;COUNTIFS('Action Plan'!$E$5:$E$19,"Done")&amp;" done"</f>
        <v>4 open · 0 done</v>
      </c>
      <c r="F13" s="28"/>
      <c r="G13" s="28"/>
      <c r="H13" s="28"/>
      <c r="I13" s="29" t="str">
        <f aca="true">IF(COUNTIFS('Action Plan'!$E$5:$E$19,"&lt;&gt;Done",'Action Plan'!$C$5:$C$19,"*"&amp;TEXT(TODAY(),"mmm yyyy")&amp;"*")=0,"clear","to do")</f>
        <v>to do</v>
      </c>
      <c r="J13" s="30" t="n">
        <f aca="true">IF(COUNTIFS('Action Plan'!$E$5:$E$19,"&lt;&gt;Done",'Action Plan'!$C$5:$C$19,"*"&amp;TEXT(TODAY(),"mmm yyyy")&amp;"*")=0,1,2)</f>
        <v>2</v>
      </c>
    </row>
    <row r="15" customFormat="false" ht="18.75" hidden="false" customHeight="true" outlineLevel="0" collapsed="false">
      <c r="B15" s="26" t="s">
        <v>39</v>
      </c>
      <c r="C15" s="17"/>
      <c r="D15" s="17"/>
      <c r="E15" s="17"/>
      <c r="F15" s="17"/>
      <c r="G15" s="17"/>
      <c r="H15" s="17"/>
      <c r="I15" s="17"/>
    </row>
    <row r="16" customFormat="false" ht="18" hidden="false" customHeight="true" outlineLevel="0" collapsed="false">
      <c r="B16" s="31" t="s">
        <v>40</v>
      </c>
      <c r="C16" s="31"/>
      <c r="D16" s="31" t="s">
        <v>41</v>
      </c>
      <c r="E16" s="31"/>
      <c r="F16" s="31" t="s">
        <v>42</v>
      </c>
      <c r="G16" s="31"/>
      <c r="H16" s="31" t="s">
        <v>25</v>
      </c>
      <c r="I16" s="31"/>
    </row>
    <row r="17" customFormat="false" ht="15.75" hidden="false" customHeight="true" outlineLevel="0" collapsed="false">
      <c r="B17" s="32" t="str">
        <f aca="true">COUNTIFS('Expense Log'!$H$5:$H$604,DATE(YEAR(TODAY()),MONTH(TODAY()),1))&amp;" entries this month"</f>
        <v>1 entries this month</v>
      </c>
      <c r="C17" s="32"/>
      <c r="D17" s="32" t="str">
        <f aca="false">COUNTIF('Expense Log'!$F$5:$F$604,"Uncategorized")&amp;" uncategorized"</f>
        <v>0 uncategorized</v>
      </c>
      <c r="E17" s="32"/>
      <c r="F17" s="32" t="str">
        <f aca="false">TEXT('Debts &amp; Credit'!$F$28,"#,##0")&amp;" available"</f>
        <v>0 available</v>
      </c>
      <c r="G17" s="32"/>
      <c r="H17" s="32" t="str">
        <f aca="false">"Net worth "&amp;TEXT(Accounts!$D$33,"#,##0")</f>
        <v>Net worth 0</v>
      </c>
      <c r="I17" s="32"/>
    </row>
    <row r="18" customFormat="false" ht="18" hidden="false" customHeight="true" outlineLevel="0" collapsed="false">
      <c r="B18" s="31" t="s">
        <v>26</v>
      </c>
      <c r="C18" s="31"/>
      <c r="D18" s="31" t="s">
        <v>43</v>
      </c>
      <c r="E18" s="31"/>
      <c r="F18" s="31" t="s">
        <v>27</v>
      </c>
      <c r="G18" s="31"/>
      <c r="H18" s="31" t="s">
        <v>1</v>
      </c>
      <c r="I18" s="31"/>
    </row>
    <row r="19" customFormat="false" ht="15.75" hidden="false" customHeight="true" outlineLevel="0" collapsed="false">
      <c r="B19" s="32" t="str">
        <f aca="false">"Likely in month 20: "&amp;TEXT(INDEX(Forecast!$C$53:$V$53,20),"#,##0")</f>
        <v>Likely in month 20: 0</v>
      </c>
      <c r="C19" s="32"/>
      <c r="D19" s="32" t="str">
        <f aca="false">COUNTIFS('Action Plan'!$E$5:$E$19,"&lt;&gt;Done")&amp;" open items"</f>
        <v>15 open items</v>
      </c>
      <c r="E19" s="32"/>
      <c r="F19" s="32" t="str">
        <f aca="false">COUNTA(Snapshots!$A$5:$A$44)&amp;" snapshots on file"</f>
        <v>0 snapshots on file</v>
      </c>
      <c r="G19" s="32"/>
      <c r="H19" s="32" t="str">
        <f aca="false">"Print page for the board"</f>
        <v>Print page for the board</v>
      </c>
      <c r="I19" s="32"/>
    </row>
    <row r="21" customFormat="false" ht="18.75" hidden="false" customHeight="true" outlineLevel="0" collapsed="false">
      <c r="B21" s="26" t="s">
        <v>44</v>
      </c>
      <c r="C21" s="17"/>
      <c r="D21" s="17"/>
      <c r="E21" s="17"/>
      <c r="F21" s="17"/>
      <c r="G21" s="17"/>
      <c r="H21" s="17"/>
      <c r="I21" s="17"/>
    </row>
    <row r="22" customFormat="false" ht="18" hidden="false" customHeight="true" outlineLevel="0" collapsed="false">
      <c r="B22" s="33" t="s">
        <v>45</v>
      </c>
      <c r="C22" s="33"/>
      <c r="D22" s="34" t="n">
        <f aca="true">TODAY()</f>
        <v>46308</v>
      </c>
      <c r="E22" s="34"/>
      <c r="F22" s="34"/>
      <c r="G22" s="35" t="s">
        <v>46</v>
      </c>
      <c r="H22" s="35"/>
      <c r="I22" s="35"/>
    </row>
    <row r="23" customFormat="false" ht="18" hidden="false" customHeight="true" outlineLevel="0" collapsed="false">
      <c r="B23" s="33" t="s">
        <v>47</v>
      </c>
      <c r="C23" s="33"/>
      <c r="D23" s="36"/>
      <c r="E23" s="36"/>
      <c r="F23" s="36"/>
      <c r="G23" s="35"/>
      <c r="H23" s="35"/>
      <c r="I23" s="35"/>
    </row>
    <row r="24" customFormat="false" ht="18" hidden="false" customHeight="true" outlineLevel="0" collapsed="false">
      <c r="B24" s="33" t="s">
        <v>48</v>
      </c>
      <c r="C24" s="33"/>
      <c r="D24" s="37"/>
      <c r="E24" s="37"/>
      <c r="F24" s="37"/>
      <c r="G24" s="38" t="s">
        <v>49</v>
      </c>
      <c r="H24" s="38"/>
      <c r="I24" s="38"/>
    </row>
    <row r="25" customFormat="false" ht="18" hidden="false" customHeight="true" outlineLevel="0" collapsed="false">
      <c r="B25" s="33" t="s">
        <v>50</v>
      </c>
      <c r="C25" s="33"/>
      <c r="D25" s="36"/>
      <c r="E25" s="36"/>
      <c r="F25" s="36"/>
      <c r="G25" s="38"/>
      <c r="H25" s="38"/>
      <c r="I25" s="38"/>
    </row>
    <row r="26" customFormat="false" ht="18" hidden="false" customHeight="true" outlineLevel="0" collapsed="false">
      <c r="B26" s="33" t="s">
        <v>51</v>
      </c>
      <c r="C26" s="33"/>
      <c r="D26" s="36" t="s">
        <v>52</v>
      </c>
      <c r="E26" s="36"/>
      <c r="F26" s="36"/>
      <c r="G26" s="38" t="s">
        <v>53</v>
      </c>
      <c r="H26" s="38"/>
      <c r="I26" s="38"/>
    </row>
    <row r="27" customFormat="false" ht="18" hidden="false" customHeight="true" outlineLevel="0" collapsed="false">
      <c r="B27" s="39" t="str">
        <f aca="false" t="array" ref="B27:B27">IF(D25="",IF(D23="","Suggested category appears here once you type a description",IFERROR("Suggested: "&amp;INDEX(Keywords!$B$5:$B$165,MAX(ISNUMBER(SEARCH(Keywords!$A$5:$A$165,D23))*(Keywords!$A$5:$A$165&lt;&gt;"")*ROW(Keywords!$A$5:$A$165))-4),"No keyword match — pick a category")),"Category: "&amp;D25)</f>
        <v>Suggested category appears here once you type a description</v>
      </c>
      <c r="C27" s="39"/>
      <c r="D27" s="39"/>
      <c r="E27" s="39"/>
      <c r="F27" s="39"/>
      <c r="G27" s="38"/>
      <c r="H27" s="38"/>
      <c r="I27" s="38"/>
    </row>
    <row r="29" customFormat="false" ht="18.75" hidden="false" customHeight="true" outlineLevel="0" collapsed="false">
      <c r="B29" s="26" t="s">
        <v>54</v>
      </c>
      <c r="C29" s="17"/>
      <c r="D29" s="17"/>
      <c r="E29" s="17"/>
      <c r="F29" s="17"/>
      <c r="G29" s="17"/>
      <c r="H29" s="17"/>
      <c r="I29" s="17"/>
    </row>
    <row r="30" customFormat="false" ht="16.4" hidden="false" customHeight="false" outlineLevel="0" collapsed="false">
      <c r="B30" s="40" t="str">
        <f aca="true">IF(COUNTIFS('Expense Log'!$H$5:$H$604,DATE(YEAR(TODAY()),MONTH(TODAY()),1))&gt;0,"☑","☐")</f>
        <v>☑</v>
      </c>
      <c r="C30" s="33" t="s">
        <v>55</v>
      </c>
      <c r="D30" s="33"/>
      <c r="E30" s="33"/>
      <c r="F30" s="41" t="str">
        <f aca="true">COUNTIFS('Expense Log'!$H$5:$H$604,DATE(YEAR(TODAY()),MONTH(TODAY()),1))&amp;" entries"</f>
        <v>1 entries</v>
      </c>
      <c r="G30" s="41"/>
      <c r="H30" s="41"/>
    </row>
    <row r="31" customFormat="false" ht="16.4" hidden="false" customHeight="false" outlineLevel="0" collapsed="false">
      <c r="B31" s="40" t="str">
        <f aca="false">IF(COUNTIF('Expense Log'!$F$5:$F$604,"Uncategorized")=0,"☑","☐")</f>
        <v>☑</v>
      </c>
      <c r="C31" s="33" t="s">
        <v>56</v>
      </c>
      <c r="D31" s="33"/>
      <c r="E31" s="33"/>
      <c r="F31" s="41" t="str">
        <f aca="false">COUNTIF('Expense Log'!$F$5:$F$604,"Uncategorized")&amp;" uncategorized"</f>
        <v>0 uncategorized</v>
      </c>
      <c r="G31" s="41"/>
      <c r="H31" s="41"/>
    </row>
    <row r="32" customFormat="false" ht="16.4" hidden="false" customHeight="false" outlineLevel="0" collapsed="false">
      <c r="B32" s="40" t="str">
        <f aca="false">IF(I32="x","☑","☐")</f>
        <v>☐</v>
      </c>
      <c r="C32" s="33" t="s">
        <v>57</v>
      </c>
      <c r="D32" s="33"/>
      <c r="E32" s="33"/>
      <c r="F32" s="41" t="str">
        <f aca="false">"type x in the box when done →"</f>
        <v>type x in the box when done →</v>
      </c>
      <c r="G32" s="41"/>
      <c r="H32" s="41"/>
      <c r="I32" s="42"/>
    </row>
    <row r="33" customFormat="false" ht="16.4" hidden="false" customHeight="false" outlineLevel="0" collapsed="false">
      <c r="B33" s="40" t="str">
        <f aca="true">IF(COUNTIFS('Action Plan'!$E$5:$E$19,"&lt;&gt;Done",'Action Plan'!$C$5:$C$19,"*"&amp;TEXT(TODAY(),"mmm yyyy")&amp;"*")=0,"☑","☐")</f>
        <v>☐</v>
      </c>
      <c r="C33" s="33" t="s">
        <v>58</v>
      </c>
      <c r="D33" s="33"/>
      <c r="E33" s="33"/>
      <c r="F33" s="41" t="str">
        <f aca="true">COUNTIFS('Action Plan'!$E$5:$E$19,"&lt;&gt;Done",'Action Plan'!$C$5:$C$19,"*"&amp;TEXT(TODAY(),"mmm yyyy")&amp;"*")&amp;" due this month"</f>
        <v>4 due this month</v>
      </c>
      <c r="G33" s="41"/>
      <c r="H33" s="41"/>
    </row>
    <row r="34" customFormat="false" ht="16.4" hidden="false" customHeight="false" outlineLevel="0" collapsed="false">
      <c r="B34" s="40" t="str">
        <f aca="true">IF(COUNTIF(Snapshots!$B$5:$B$44,DATE(YEAR(TODAY()),MONTH(TODAY()),1))&gt;0,"☑","☐")</f>
        <v>☐</v>
      </c>
      <c r="C34" s="33" t="s">
        <v>59</v>
      </c>
      <c r="D34" s="33"/>
      <c r="E34" s="33"/>
      <c r="F34" s="41" t="str">
        <f aca="true">IF(COUNTIF(Snapshots!$B$5:$B$44,DATE(YEAR(TODAY()),MONTH(TODAY()),1))&gt;0,"done","Snapshot button or type a row")</f>
        <v>Snapshot button or type a row</v>
      </c>
      <c r="G34" s="41"/>
      <c r="H34" s="41"/>
    </row>
    <row r="35" customFormat="false" ht="16.4" hidden="false" customHeight="false" outlineLevel="0" collapsed="false">
      <c r="B35" s="40" t="str">
        <f aca="false">IF(I35="x","☑","☐")</f>
        <v>☐</v>
      </c>
      <c r="C35" s="33" t="s">
        <v>60</v>
      </c>
      <c r="D35" s="33"/>
      <c r="E35" s="33"/>
      <c r="F35" s="41" t="str">
        <f aca="false">"type x in the box when done →"</f>
        <v>type x in the box when done →</v>
      </c>
      <c r="G35" s="41"/>
      <c r="H35" s="41"/>
      <c r="I35" s="42"/>
    </row>
    <row r="37" customFormat="false" ht="15" hidden="false" customHeight="false" outlineLevel="0" collapsed="false">
      <c r="B37" s="13" t="s">
        <v>61</v>
      </c>
      <c r="C37" s="13"/>
      <c r="D37" s="13"/>
      <c r="E37" s="13"/>
      <c r="F37" s="13"/>
      <c r="G37" s="13"/>
      <c r="H37" s="13"/>
      <c r="I37" s="13"/>
    </row>
    <row r="39" customFormat="false" ht="18.75" hidden="false" customHeight="true" outlineLevel="0" collapsed="false">
      <c r="B39" s="26" t="s">
        <v>62</v>
      </c>
      <c r="C39" s="17"/>
      <c r="D39" s="17"/>
      <c r="E39" s="17"/>
      <c r="F39" s="17"/>
      <c r="G39" s="17"/>
      <c r="H39" s="17"/>
      <c r="I39" s="17"/>
    </row>
    <row r="40" customFormat="false" ht="18" hidden="false" customHeight="true" outlineLevel="0" collapsed="false">
      <c r="B40" s="27" t="s">
        <v>63</v>
      </c>
      <c r="C40" s="27"/>
      <c r="D40" s="27"/>
      <c r="E40" s="27"/>
      <c r="F40" s="27"/>
      <c r="G40" s="43" t="n">
        <f aca="false">COUNTIFS(Budget!$A$5:$A$34,"&lt;&gt;",Budget!$K$5:$K$34,0)</f>
        <v>30</v>
      </c>
      <c r="H40" s="43"/>
      <c r="I40" s="29" t="str">
        <f aca="false">IF(G40=0,"ok","fill in")</f>
        <v>fill in</v>
      </c>
      <c r="J40" s="30" t="n">
        <f aca="false">IF(G40=0,1,2)</f>
        <v>2</v>
      </c>
    </row>
    <row r="41" customFormat="false" ht="18" hidden="false" customHeight="true" outlineLevel="0" collapsed="false">
      <c r="B41" s="27" t="s">
        <v>64</v>
      </c>
      <c r="C41" s="27"/>
      <c r="D41" s="27"/>
      <c r="E41" s="27"/>
      <c r="F41" s="27"/>
      <c r="G41" s="43" t="n">
        <f aca="false">IF(Setup!$B$10="",1,0)</f>
        <v>1</v>
      </c>
      <c r="H41" s="43"/>
      <c r="I41" s="29" t="str">
        <f aca="false">IF(G41=0,"ok","missing")</f>
        <v>missing</v>
      </c>
      <c r="J41" s="30" t="n">
        <f aca="false">IF(G41=0,1,3)</f>
        <v>3</v>
      </c>
    </row>
    <row r="42" customFormat="false" ht="18" hidden="false" customHeight="true" outlineLevel="0" collapsed="false">
      <c r="B42" s="27" t="s">
        <v>65</v>
      </c>
      <c r="C42" s="27"/>
      <c r="D42" s="27"/>
      <c r="E42" s="27"/>
      <c r="F42" s="27"/>
      <c r="G42" s="43" t="n">
        <f aca="false">COUNTIF(Accounts!$I$5:$I$15,"stale")</f>
        <v>0</v>
      </c>
      <c r="H42" s="43"/>
      <c r="I42" s="29" t="str">
        <f aca="false">IF(G42=0,"ok","update")</f>
        <v>ok</v>
      </c>
      <c r="J42" s="30" t="n">
        <f aca="false">IF(G42=0,1,2)</f>
        <v>1</v>
      </c>
    </row>
    <row r="43" customFormat="false" ht="18" hidden="false" customHeight="true" outlineLevel="0" collapsed="false">
      <c r="B43" s="27" t="s">
        <v>66</v>
      </c>
      <c r="C43" s="27"/>
      <c r="D43" s="27"/>
      <c r="E43" s="27"/>
      <c r="F43" s="27"/>
      <c r="G43" s="43" t="n">
        <f aca="false">SUMPRODUCT((Keywords!$B$5:$B$165&lt;&gt;"")*(COUNTIF(Budget!$A$5:$A$34,Keywords!$B$5:$B$165)=0))</f>
        <v>0</v>
      </c>
      <c r="H43" s="43"/>
      <c r="I43" s="29" t="str">
        <f aca="false">IF(G43=0,"ok","fix")</f>
        <v>ok</v>
      </c>
      <c r="J43" s="30" t="n">
        <f aca="false">IF(G43=0,1,2)</f>
        <v>1</v>
      </c>
    </row>
    <row r="44" customFormat="false" ht="18" hidden="false" customHeight="true" outlineLevel="0" collapsed="false">
      <c r="B44" s="27" t="s">
        <v>67</v>
      </c>
      <c r="C44" s="27"/>
      <c r="D44" s="27"/>
      <c r="E44" s="27"/>
      <c r="F44" s="27"/>
      <c r="G44" s="43" t="n">
        <f aca="false">COUNTIF(Forecast!$C$53:$V$53,"&lt;0")</f>
        <v>0</v>
      </c>
      <c r="H44" s="43"/>
      <c r="I44" s="29" t="str">
        <f aca="false">IF(G44=0,"ok","watch")</f>
        <v>ok</v>
      </c>
      <c r="J44" s="30" t="n">
        <f aca="false">IF(G44=0,1,3)</f>
        <v>1</v>
      </c>
    </row>
    <row r="45" customFormat="false" ht="18" hidden="false" customHeight="true" outlineLevel="0" collapsed="false">
      <c r="B45" s="27" t="s">
        <v>68</v>
      </c>
      <c r="C45" s="27"/>
      <c r="D45" s="27"/>
      <c r="E45" s="27"/>
      <c r="F45" s="27"/>
      <c r="G45" s="43" t="n">
        <f aca="false">COUNTIF(Reconcile!$K$21:$K$40,"add it")</f>
        <v>0</v>
      </c>
      <c r="H45" s="43"/>
      <c r="I45" s="29" t="str">
        <f aca="false">IF(G45=0,"ok","review")</f>
        <v>ok</v>
      </c>
      <c r="J45" s="30" t="n">
        <f aca="false">IF(G45=0,1,2)</f>
        <v>1</v>
      </c>
    </row>
    <row r="46" customFormat="false" ht="18" hidden="false" customHeight="true" outlineLevel="0" collapsed="false">
      <c r="B46" s="27" t="s">
        <v>69</v>
      </c>
      <c r="C46" s="27"/>
      <c r="D46" s="27"/>
      <c r="E46" s="27"/>
      <c r="F46" s="27"/>
      <c r="G46" s="43" t="n">
        <f aca="false">COUNTIF(Reconcile!$K$6:$K$16,"check")</f>
        <v>0</v>
      </c>
      <c r="H46" s="43"/>
      <c r="I46" s="29" t="str">
        <f aca="false">IF(G46=0,"ok","look")</f>
        <v>ok</v>
      </c>
      <c r="J46" s="30" t="n">
        <f aca="false">IF(G46=0,1,2)</f>
        <v>1</v>
      </c>
    </row>
  </sheetData>
  <sheetProtection sheet="true" scenarios="true" formatCells="false" formatColumns="false" formatRows="false" sort="false" autoFilter="false"/>
  <mergeCells count="77">
    <mergeCell ref="B4:C4"/>
    <mergeCell ref="D4:E4"/>
    <mergeCell ref="F4:G4"/>
    <mergeCell ref="H4:I4"/>
    <mergeCell ref="B5:C5"/>
    <mergeCell ref="D5:E5"/>
    <mergeCell ref="F5:G5"/>
    <mergeCell ref="H5:I5"/>
    <mergeCell ref="B8:D8"/>
    <mergeCell ref="E8:H8"/>
    <mergeCell ref="B9:D9"/>
    <mergeCell ref="E9:H9"/>
    <mergeCell ref="B10:D10"/>
    <mergeCell ref="E10:H10"/>
    <mergeCell ref="B11:D11"/>
    <mergeCell ref="E11:H11"/>
    <mergeCell ref="B12:D12"/>
    <mergeCell ref="E12:H12"/>
    <mergeCell ref="B13:D13"/>
    <mergeCell ref="E13:H13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F22"/>
    <mergeCell ref="G22:I23"/>
    <mergeCell ref="B23:C23"/>
    <mergeCell ref="D23:F23"/>
    <mergeCell ref="B24:C24"/>
    <mergeCell ref="D24:F24"/>
    <mergeCell ref="G24:I25"/>
    <mergeCell ref="B25:C25"/>
    <mergeCell ref="D25:F25"/>
    <mergeCell ref="B26:C26"/>
    <mergeCell ref="D26:F26"/>
    <mergeCell ref="G26:I27"/>
    <mergeCell ref="B27:F27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B37:I37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G44:H44"/>
    <mergeCell ref="B45:F45"/>
    <mergeCell ref="G45:H45"/>
    <mergeCell ref="B46:F46"/>
    <mergeCell ref="G46:H46"/>
  </mergeCells>
  <conditionalFormatting sqref="I8:I13">
    <cfRule type="expression" priority="2" aboveAverage="0" equalAverage="0" bottom="0" percent="0" rank="0" text="" dxfId="0">
      <formula>$J8=2</formula>
    </cfRule>
    <cfRule type="expression" priority="3" aboveAverage="0" equalAverage="0" bottom="0" percent="0" rank="0" text="" dxfId="1">
      <formula>$J8=3</formula>
    </cfRule>
  </conditionalFormatting>
  <conditionalFormatting sqref="I40:I46">
    <cfRule type="expression" priority="4" aboveAverage="0" equalAverage="0" bottom="0" percent="0" rank="0" text="" dxfId="0">
      <formula>$J40=2</formula>
    </cfRule>
    <cfRule type="expression" priority="5" aboveAverage="0" equalAverage="0" bottom="0" percent="0" rank="0" text="" dxfId="1">
      <formula>$J40=3</formula>
    </cfRule>
  </conditionalFormatting>
  <dataValidations count="2">
    <dataValidation allowBlank="true" errorStyle="stop" operator="between" showDropDown="false" showErrorMessage="false" showInputMessage="false" sqref="D25" type="list">
      <formula1>Budget!$A$5:$A$34</formula1>
      <formula2>0</formula2>
    </dataValidation>
    <dataValidation allowBlank="true" errorStyle="stop" operator="between" showDropDown="false" showErrorMessage="false" showInputMessage="false" sqref="D26" type="list">
      <formula1>Accounts!$A$5:$A$15</formula1>
      <formula2>0</formula2>
    </dataValidation>
  </dataValidations>
  <hyperlinks>
    <hyperlink ref="C1" r:id="rId2" location="'Dashboard'!A1" display="Dashboard"/>
    <hyperlink ref="D1" r:id="rId3" location="'Expense%20Log'!A1" display="Log"/>
    <hyperlink ref="E1" r:id="rId4" location="'Budget'!A1" display="Budget"/>
    <hyperlink ref="F1" r:id="rId5" location="'Debts%20&amp;%20Credit'!A1" display="Debts"/>
    <hyperlink ref="G1" r:id="rId6" location="'Accounts'!A1" display="Accounts"/>
    <hyperlink ref="H1" r:id="rId7" location="'Forecast'!A1" display="Forecast"/>
    <hyperlink ref="I1" r:id="rId8" location="'Reports'!A1" display="Reports"/>
    <hyperlink ref="B16" r:id="rId9" location="'Expense%20Log'!A1" display="Expense Log"/>
    <hyperlink ref="D16" r:id="rId10" location="'Monthly%20Actuals'!A1" display="Monthly Actuals"/>
    <hyperlink ref="F16" r:id="rId11" location="'Debts%20&amp;%20Credit'!A1" display="Debts &amp; Credit"/>
    <hyperlink ref="H16" r:id="rId12" location="'Accounts'!A1" display="Accounts"/>
    <hyperlink ref="B18" r:id="rId13" location="'Forecast'!A1" display="Forecast"/>
    <hyperlink ref="D18" r:id="rId14" location="'Action%20Plan'!A1" display="Action Plan"/>
    <hyperlink ref="F18" r:id="rId15" location="'Reports'!A1" display="Reports"/>
    <hyperlink ref="H18" r:id="rId16" location="'Dashboard'!A1" display="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.51"/>
    <col collapsed="false" customWidth="true" hidden="false" outlineLevel="0" max="7" min="7" style="0" width="30"/>
    <col collapsed="false" customWidth="true" hidden="false" outlineLevel="0" max="10" min="8" style="0" width="10"/>
    <col collapsed="false" customWidth="true" hidden="false" outlineLevel="0" max="11" min="11" style="0" width="8"/>
    <col collapsed="false" customWidth="true" hidden="false" outlineLevel="0" max="12" min="12" style="0" width="9"/>
    <col collapsed="false" customWidth="true" hidden="false" outlineLevel="0" max="13" min="13" style="0" width="1"/>
  </cols>
  <sheetData>
    <row r="1" customFormat="false" ht="24.75" hidden="false" customHeight="true" outlineLevel="0" collapsed="false">
      <c r="A1" s="7"/>
      <c r="B1" s="44" t="str">
        <f aca="false">"HOUSEHOLD PLAN — "&amp;TEXT(Inputs!$B$5,"mmm yyyy")&amp;" to "&amp;TEXT(EDATE(Inputs!$B$5,19),"mmm yyyy")&amp;IF(Setup!$B$5="",""," · "&amp;Setup!$B$5&amp;IF(Setup!$B$6=""," "," &amp; "&amp;Setup!$B$6))</f>
        <v>HOUSEHOLD PLAN — Oct 2026 to May 2028</v>
      </c>
      <c r="C1" s="7"/>
      <c r="D1" s="7"/>
      <c r="E1" s="7"/>
      <c r="F1" s="7"/>
      <c r="G1" s="7"/>
      <c r="H1" s="7"/>
      <c r="I1" s="7"/>
      <c r="J1" s="7"/>
      <c r="K1" s="7"/>
      <c r="L1" s="45" t="s">
        <v>0</v>
      </c>
      <c r="M1" s="7"/>
    </row>
    <row r="2" customFormat="false" ht="13.5" hidden="false" customHeight="true" outlineLevel="0" collapsed="false">
      <c r="A2" s="7"/>
      <c r="B2" s="46" t="str">
        <f aca="false">"Updated "&amp;TEXT(Inputs!$B$9,"mmm d, yyyy")&amp;IF(Setup!$B$17="","","   ·   Income change: "&amp;TEXT(Inputs!$B$6,"mmm d, yyyy")&amp;"   ·   "&amp;TEXT(Inputs!$B$10,"0")&amp;" days to go")&amp;"   ·   Likely case shown unless noted   ·   amounts in "&amp;Setup!$B$8</f>
        <v>Updated Oct 13, 2026   ·   Likely case shown unless noted   ·   amounts in USD</v>
      </c>
      <c r="C2" s="7"/>
      <c r="D2" s="7"/>
      <c r="E2" s="7"/>
      <c r="F2" s="7"/>
      <c r="G2" s="7"/>
      <c r="H2" s="7"/>
      <c r="I2" s="7"/>
      <c r="J2" s="7"/>
      <c r="K2" s="7"/>
      <c r="L2" s="47" t="s">
        <v>70</v>
      </c>
      <c r="M2" s="7"/>
    </row>
    <row r="3" customFormat="false" ht="6.75" hidden="false" customHeight="true" outlineLevel="0" collapsed="false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customFormat="false" ht="12.75" hidden="false" customHeight="true" outlineLevel="0" collapsed="false">
      <c r="A4" s="48"/>
      <c r="B4" s="49" t="s">
        <v>29</v>
      </c>
      <c r="C4" s="49"/>
      <c r="D4" s="49" t="s">
        <v>28</v>
      </c>
      <c r="E4" s="49"/>
      <c r="F4" s="48"/>
      <c r="G4" s="50" t="s">
        <v>71</v>
      </c>
      <c r="H4" s="50"/>
      <c r="I4" s="49" t="s">
        <v>72</v>
      </c>
      <c r="J4" s="49"/>
      <c r="K4" s="49"/>
      <c r="L4" s="49"/>
      <c r="M4" s="48"/>
    </row>
    <row r="5" customFormat="false" ht="24" hidden="false" customHeight="true" outlineLevel="0" collapsed="false">
      <c r="A5" s="48"/>
      <c r="B5" s="51" t="n">
        <f aca="false">(Inputs!$B$16+Forecast!C41)-Budget!$C$38</f>
        <v>0</v>
      </c>
      <c r="C5" s="51"/>
      <c r="D5" s="51" t="n">
        <f aca="false">Inputs!$B$8</f>
        <v>0</v>
      </c>
      <c r="E5" s="51"/>
      <c r="F5" s="48"/>
      <c r="G5" s="52" t="n">
        <f aca="false">IFERROR(IFERROR(INDEX(Forecast!$C$53:$V$53,MATCH(DATE(YEAR(Inputs!$B$6),MONTH(Inputs!$B$6),1),Forecast!$C$3:$V$3,0)),Inputs!$B$8)/(Budget!$M$38+Inputs!$B$40),0)</f>
        <v>0</v>
      </c>
      <c r="H5" s="52"/>
      <c r="I5" s="51" t="n">
        <f aca="false">'Debts &amp; Credit'!$F$28</f>
        <v>0</v>
      </c>
      <c r="J5" s="51"/>
      <c r="K5" s="51"/>
      <c r="L5" s="51"/>
      <c r="M5" s="48"/>
    </row>
    <row r="6" customFormat="false" ht="12.75" hidden="false" customHeight="true" outlineLevel="0" collapsed="false">
      <c r="A6" s="48"/>
      <c r="B6" s="53" t="str">
        <f aca="false">TEXT((Inputs!$B$16+Forecast!C41),"#,##0")&amp;" in  ·  "&amp;TEXT(Budget!$C$38,"#,##0")&amp;" out"</f>
        <v>0 in  ·  0 out</v>
      </c>
      <c r="C6" s="53"/>
      <c r="D6" s="53" t="str">
        <f aca="false">IF(COUNTA(Snapshots!$A$5:$A$44)=0,"take a month-end snapshot to track the change",IF(Inputs!$B$8-IF(COUNTA(Snapshots!$A$5:$A$44)&lt;1,0,INDEX(Snapshots!$C$5:$C$44,COUNTA(Snapshots!$A$5:$A$44)))&gt;=0,"+","−")&amp;TEXT(ABS(Inputs!$B$8-IF(COUNTA(Snapshots!$A$5:$A$44)&lt;1,0,INDEX(Snapshots!$C$5:$C$44,COUNTA(Snapshots!$A$5:$A$44)))),"#,##0")&amp;" since "&amp;TEXT(IF(COUNTA(Snapshots!$A$5:$A$44)&lt;1,"",INDEX(Snapshots!$B$5:$B$44,COUNTA(Snapshots!$A$5:$A$44))),"mmm")&amp;" snapshot")</f>
        <v>take a month-end snapshot to track the change</v>
      </c>
      <c r="E6" s="53"/>
      <c r="F6" s="48"/>
      <c r="G6" s="54" t="str">
        <f aca="false">"months of lean spending the cash would cover"&amp;IF(Setup!$B$17="","",", from the change date")</f>
        <v>months of lean spending the cash would cover</v>
      </c>
      <c r="H6" s="54"/>
      <c r="I6" s="53" t="str">
        <f aca="false">TEXT('Debts &amp; Credit'!$G$28,"0.0%")&amp;" used of "&amp;TEXT('Debts &amp; Credit'!$E$28,"#,##0")&amp;" limits"</f>
        <v>0.0% used of 0 limits</v>
      </c>
      <c r="J6" s="53"/>
      <c r="K6" s="53"/>
      <c r="L6" s="53"/>
      <c r="M6" s="48"/>
    </row>
    <row r="7" customFormat="false" ht="6.75" hidden="false" customHeight="true" outlineLevel="0" collapsed="false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customFormat="false" ht="12.75" hidden="false" customHeight="true" outlineLevel="0" collapsed="false">
      <c r="A8" s="48"/>
      <c r="B8" s="49" t="s">
        <v>73</v>
      </c>
      <c r="C8" s="49"/>
      <c r="D8" s="50" t="s">
        <v>74</v>
      </c>
      <c r="E8" s="50"/>
      <c r="F8" s="48"/>
      <c r="G8" s="49" t="s">
        <v>75</v>
      </c>
      <c r="H8" s="49"/>
      <c r="I8" s="49" t="s">
        <v>30</v>
      </c>
      <c r="J8" s="49"/>
      <c r="K8" s="49"/>
      <c r="L8" s="49"/>
      <c r="M8" s="48"/>
    </row>
    <row r="9" customFormat="false" ht="24" hidden="false" customHeight="true" outlineLevel="0" collapsed="false">
      <c r="A9" s="48"/>
      <c r="B9" s="51" t="n">
        <f aca="false">IFERROR(INDEX(Forecast!$C$53:$V$53,MATCH(DATE(YEAR(Inputs!$B$6),MONTH(Inputs!$B$6),1),Forecast!$C$3:$V$3,0)),Inputs!$B$8)</f>
        <v>0</v>
      </c>
      <c r="C9" s="51"/>
      <c r="D9" s="55" t="n">
        <f aca="false">MIN(Forecast!$C$74:$V$74)</f>
        <v>0</v>
      </c>
      <c r="E9" s="55"/>
      <c r="F9" s="48"/>
      <c r="G9" s="51" t="n">
        <f aca="false">(Inputs!$B$22+Inputs!$B$27+Inputs!$B$32*Inputs!$B$29*12/52)</f>
        <v>0</v>
      </c>
      <c r="H9" s="51"/>
      <c r="I9" s="51" t="n">
        <f aca="false">Accounts!$F$15</f>
        <v>0</v>
      </c>
      <c r="J9" s="51"/>
      <c r="K9" s="51"/>
      <c r="L9" s="51"/>
      <c r="M9" s="48"/>
    </row>
    <row r="10" customFormat="false" ht="12.75" hidden="false" customHeight="true" outlineLevel="0" collapsed="false">
      <c r="A10" s="48"/>
      <c r="B10" s="53" t="str">
        <f aca="false">IF(Setup!$B$17="","no change date set — showing cash today",TEXT(Inputs!$B$6,"mmmm d, yyyy"))</f>
        <v>no change date set — showing cash today</v>
      </c>
      <c r="C10" s="53"/>
      <c r="D10" s="54" t="str">
        <f aca="false">TEXT(INDEX(Forecast!$C$3:$V$3,MATCH(MIN(Forecast!$C$74:$V$74),Forecast!$C$74:$V$74,0)),"mmmm yyyy")</f>
        <v>October 2026</v>
      </c>
      <c r="E10" s="54"/>
      <c r="F10" s="48"/>
      <c r="G10" s="53" t="str">
        <f aca="false">"severance + bonus + unemployment, after withholding"</f>
        <v>severance + bonus + unemployment, after withholding</v>
      </c>
      <c r="H10" s="53"/>
      <c r="I10" s="53" t="str">
        <f aca="false">IF(Inputs!$B$58=0,"set a savings goal on Setup","of "&amp;TEXT(Inputs!$B$58,"#,##0")&amp;" goal  ·  "&amp;TEXT(IFERROR(Accounts!$F$15/Inputs!$B$58,0),"0%"))</f>
        <v>set a savings goal on Setup</v>
      </c>
      <c r="J10" s="53"/>
      <c r="K10" s="53"/>
      <c r="L10" s="53"/>
      <c r="M10" s="48"/>
    </row>
    <row r="11" customFormat="false" ht="6.75" hidden="false" customHeight="true" outlineLevel="0" collapsed="false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customFormat="false" ht="18.75" hidden="false" customHeight="true" outlineLevel="0" collapsed="false">
      <c r="A12" s="48"/>
      <c r="B12" s="56" t="s">
        <v>76</v>
      </c>
      <c r="C12" s="3"/>
      <c r="D12" s="3"/>
      <c r="E12" s="3"/>
      <c r="F12" s="48"/>
      <c r="G12" s="56" t="s">
        <v>77</v>
      </c>
      <c r="H12" s="3"/>
      <c r="I12" s="3"/>
      <c r="J12" s="3"/>
      <c r="K12" s="3"/>
      <c r="L12" s="3"/>
      <c r="M12" s="48"/>
    </row>
    <row r="13" customFormat="false" ht="19.5" hidden="false" customHeight="true" outlineLevel="0" collapsed="false">
      <c r="A13" s="48"/>
      <c r="B13" s="57" t="s">
        <v>78</v>
      </c>
      <c r="C13" s="57" t="s">
        <v>48</v>
      </c>
      <c r="D13" s="57" t="s">
        <v>79</v>
      </c>
      <c r="E13" s="57" t="s">
        <v>51</v>
      </c>
      <c r="F13" s="48"/>
      <c r="G13" s="57" t="s">
        <v>80</v>
      </c>
      <c r="H13" s="57" t="s">
        <v>81</v>
      </c>
      <c r="I13" s="57" t="s">
        <v>82</v>
      </c>
      <c r="J13" s="57" t="s">
        <v>83</v>
      </c>
      <c r="K13" s="57" t="s">
        <v>84</v>
      </c>
      <c r="L13" s="57" t="s">
        <v>85</v>
      </c>
      <c r="M13" s="48"/>
    </row>
    <row r="14" customFormat="false" ht="10.5" hidden="false" customHeight="true" outlineLevel="0" collapsed="false">
      <c r="A14" s="48"/>
      <c r="B14" s="58" t="str">
        <f aca="false">IF(Budget!A5="","",Budget!A5)</f>
        <v>Rent / mortgage</v>
      </c>
      <c r="C14" s="59" t="n">
        <f aca="false">IF(Budget!A5="","",Budget!K5)</f>
        <v>0</v>
      </c>
      <c r="D14" s="60" t="n">
        <f aca="false">IF(Budget!F5="","",Budget!F5)</f>
        <v>1</v>
      </c>
      <c r="E14" s="61" t="str">
        <f aca="false">IF(Budget!G5="","",Budget!G5)</f>
        <v/>
      </c>
      <c r="F14" s="48"/>
      <c r="G14" s="58" t="str">
        <f aca="false">IF('Debts &amp; Credit'!A5="","",'Debts &amp; Credit'!A5)</f>
        <v>Example — Visa card (type over me)</v>
      </c>
      <c r="H14" s="59" t="n">
        <f aca="false">IF('Debts &amp; Credit'!A5="","",'Debts &amp; Credit'!P5)</f>
        <v>0</v>
      </c>
      <c r="I14" s="59" t="str">
        <f aca="false">IF('Debts &amp; Credit'!Q5="","",'Debts &amp; Credit'!Q5)</f>
        <v/>
      </c>
      <c r="J14" s="62" t="str">
        <f aca="false">IF('Debts &amp; Credit'!G5="","",'Debts &amp; Credit'!G5)</f>
        <v/>
      </c>
      <c r="K14" s="63" t="n">
        <f aca="false">IF('Debts &amp; Credit'!A5="","",'Debts &amp; Credit'!H5)</f>
        <v>0</v>
      </c>
      <c r="L14" s="64" t="n">
        <f aca="false">IF('Debts &amp; Credit'!A5="","",'Debts &amp; Credit'!R5)</f>
        <v>0</v>
      </c>
      <c r="M14" s="48"/>
    </row>
    <row r="15" customFormat="false" ht="10.5" hidden="false" customHeight="true" outlineLevel="0" collapsed="false">
      <c r="A15" s="48"/>
      <c r="B15" s="58" t="str">
        <f aca="false">IF(Budget!A6="","",Budget!A6)</f>
        <v>Home / renters insurance</v>
      </c>
      <c r="C15" s="59" t="n">
        <f aca="false">IF(Budget!A6="","",Budget!K6)</f>
        <v>0</v>
      </c>
      <c r="D15" s="60" t="n">
        <f aca="false">IF(Budget!F6="","",Budget!F6)</f>
        <v>1</v>
      </c>
      <c r="E15" s="61" t="str">
        <f aca="false">IF(Budget!G6="","",Budget!G6)</f>
        <v/>
      </c>
      <c r="F15" s="48"/>
      <c r="G15" s="58" t="str">
        <f aca="false">IF('Debts &amp; Credit'!A6="","",'Debts &amp; Credit'!A6)</f>
        <v>Example — car loan</v>
      </c>
      <c r="H15" s="59" t="n">
        <f aca="false">IF('Debts &amp; Credit'!A6="","",'Debts &amp; Credit'!P6)</f>
        <v>0</v>
      </c>
      <c r="I15" s="59" t="str">
        <f aca="false">IF('Debts &amp; Credit'!Q6="","",'Debts &amp; Credit'!Q6)</f>
        <v/>
      </c>
      <c r="J15" s="62" t="str">
        <f aca="false">IF('Debts &amp; Credit'!G6="","",'Debts &amp; Credit'!G6)</f>
        <v/>
      </c>
      <c r="K15" s="63" t="n">
        <f aca="false">IF('Debts &amp; Credit'!A6="","",'Debts &amp; Credit'!H6)</f>
        <v>0</v>
      </c>
      <c r="L15" s="64" t="n">
        <f aca="false">IF('Debts &amp; Credit'!A6="","",'Debts &amp; Credit'!R6)</f>
        <v>0</v>
      </c>
      <c r="M15" s="48"/>
    </row>
    <row r="16" customFormat="false" ht="10.5" hidden="false" customHeight="true" outlineLevel="0" collapsed="false">
      <c r="A16" s="48"/>
      <c r="B16" s="58" t="str">
        <f aca="false">IF(Budget!A7="","",Budget!A7)</f>
        <v>Property tax</v>
      </c>
      <c r="C16" s="59" t="n">
        <f aca="false">IF(Budget!A7="","",Budget!K7)</f>
        <v>0</v>
      </c>
      <c r="D16" s="60" t="n">
        <f aca="false">IF(Budget!F7="","",Budget!F7)</f>
        <v>1</v>
      </c>
      <c r="E16" s="61" t="str">
        <f aca="false">IF(Budget!G7="","",Budget!G7)</f>
        <v/>
      </c>
      <c r="F16" s="48"/>
      <c r="G16" s="58" t="str">
        <f aca="false">IF('Debts &amp; Credit'!A7="","",'Debts &amp; Credit'!A7)</f>
        <v>Example — mortgage</v>
      </c>
      <c r="H16" s="59" t="n">
        <f aca="false">IF('Debts &amp; Credit'!A7="","",'Debts &amp; Credit'!P7)</f>
        <v>0</v>
      </c>
      <c r="I16" s="59" t="str">
        <f aca="false">IF('Debts &amp; Credit'!Q7="","",'Debts &amp; Credit'!Q7)</f>
        <v/>
      </c>
      <c r="J16" s="62" t="str">
        <f aca="false">IF('Debts &amp; Credit'!G7="","",'Debts &amp; Credit'!G7)</f>
        <v/>
      </c>
      <c r="K16" s="63" t="n">
        <f aca="false">IF('Debts &amp; Credit'!A7="","",'Debts &amp; Credit'!H7)</f>
        <v>0</v>
      </c>
      <c r="L16" s="64" t="n">
        <f aca="false">IF('Debts &amp; Credit'!A7="","",'Debts &amp; Credit'!R7)</f>
        <v>0</v>
      </c>
      <c r="M16" s="48"/>
    </row>
    <row r="17" customFormat="false" ht="10.5" hidden="false" customHeight="true" outlineLevel="0" collapsed="false">
      <c r="A17" s="48"/>
      <c r="B17" s="58" t="str">
        <f aca="false">IF(Budget!A8="","",Budget!A8)</f>
        <v>Electric</v>
      </c>
      <c r="C17" s="59" t="n">
        <f aca="false">IF(Budget!A8="","",Budget!K8)</f>
        <v>0</v>
      </c>
      <c r="D17" s="60" t="n">
        <f aca="false">IF(Budget!F8="","",Budget!F8)</f>
        <v>15</v>
      </c>
      <c r="E17" s="61" t="str">
        <f aca="false">IF(Budget!G8="","",Budget!G8)</f>
        <v/>
      </c>
      <c r="F17" s="48"/>
      <c r="G17" s="58" t="str">
        <f aca="false">IF('Debts &amp; Credit'!A8="","",'Debts &amp; Credit'!A8)</f>
        <v/>
      </c>
      <c r="H17" s="59" t="str">
        <f aca="false">IF('Debts &amp; Credit'!A8="","",'Debts &amp; Credit'!P8)</f>
        <v/>
      </c>
      <c r="I17" s="59" t="str">
        <f aca="false">IF('Debts &amp; Credit'!Q8="","",'Debts &amp; Credit'!Q8)</f>
        <v/>
      </c>
      <c r="J17" s="62" t="str">
        <f aca="false">IF('Debts &amp; Credit'!G8="","",'Debts &amp; Credit'!G8)</f>
        <v/>
      </c>
      <c r="K17" s="63" t="str">
        <f aca="false">IF('Debts &amp; Credit'!A8="","",'Debts &amp; Credit'!H8)</f>
        <v/>
      </c>
      <c r="L17" s="64" t="str">
        <f aca="false">IF('Debts &amp; Credit'!A8="","",'Debts &amp; Credit'!R8)</f>
        <v/>
      </c>
      <c r="M17" s="48"/>
    </row>
    <row r="18" customFormat="false" ht="10.5" hidden="false" customHeight="true" outlineLevel="0" collapsed="false">
      <c r="A18" s="48"/>
      <c r="B18" s="58" t="str">
        <f aca="false">IF(Budget!A9="","",Budget!A9)</f>
        <v>Gas / heating oil</v>
      </c>
      <c r="C18" s="59" t="n">
        <f aca="false">IF(Budget!A9="","",Budget!K9)</f>
        <v>0</v>
      </c>
      <c r="D18" s="60" t="n">
        <f aca="false">IF(Budget!F9="","",Budget!F9)</f>
        <v>15</v>
      </c>
      <c r="E18" s="61" t="str">
        <f aca="false">IF(Budget!G9="","",Budget!G9)</f>
        <v/>
      </c>
      <c r="F18" s="48"/>
      <c r="G18" s="58" t="str">
        <f aca="false">IF('Debts &amp; Credit'!A9="","",'Debts &amp; Credit'!A9)</f>
        <v/>
      </c>
      <c r="H18" s="59" t="str">
        <f aca="false">IF('Debts &amp; Credit'!A9="","",'Debts &amp; Credit'!P9)</f>
        <v/>
      </c>
      <c r="I18" s="59" t="str">
        <f aca="false">IF('Debts &amp; Credit'!Q9="","",'Debts &amp; Credit'!Q9)</f>
        <v/>
      </c>
      <c r="J18" s="62" t="str">
        <f aca="false">IF('Debts &amp; Credit'!G9="","",'Debts &amp; Credit'!G9)</f>
        <v/>
      </c>
      <c r="K18" s="63" t="str">
        <f aca="false">IF('Debts &amp; Credit'!A9="","",'Debts &amp; Credit'!H9)</f>
        <v/>
      </c>
      <c r="L18" s="64" t="str">
        <f aca="false">IF('Debts &amp; Credit'!A9="","",'Debts &amp; Credit'!R9)</f>
        <v/>
      </c>
      <c r="M18" s="48"/>
    </row>
    <row r="19" customFormat="false" ht="10.5" hidden="false" customHeight="true" outlineLevel="0" collapsed="false">
      <c r="A19" s="48"/>
      <c r="B19" s="58" t="str">
        <f aca="false">IF(Budget!A10="","",Budget!A10)</f>
        <v>Water / sewer</v>
      </c>
      <c r="C19" s="59" t="n">
        <f aca="false">IF(Budget!A10="","",Budget!K10)</f>
        <v>0</v>
      </c>
      <c r="D19" s="60" t="n">
        <f aca="false">IF(Budget!F10="","",Budget!F10)</f>
        <v>15</v>
      </c>
      <c r="E19" s="61" t="str">
        <f aca="false">IF(Budget!G10="","",Budget!G10)</f>
        <v/>
      </c>
      <c r="F19" s="48"/>
      <c r="G19" s="58" t="str">
        <f aca="false">IF('Debts &amp; Credit'!A10="","",'Debts &amp; Credit'!A10)</f>
        <v/>
      </c>
      <c r="H19" s="59" t="str">
        <f aca="false">IF('Debts &amp; Credit'!A10="","",'Debts &amp; Credit'!P10)</f>
        <v/>
      </c>
      <c r="I19" s="59" t="str">
        <f aca="false">IF('Debts &amp; Credit'!Q10="","",'Debts &amp; Credit'!Q10)</f>
        <v/>
      </c>
      <c r="J19" s="62" t="str">
        <f aca="false">IF('Debts &amp; Credit'!G10="","",'Debts &amp; Credit'!G10)</f>
        <v/>
      </c>
      <c r="K19" s="63" t="str">
        <f aca="false">IF('Debts &amp; Credit'!A10="","",'Debts &amp; Credit'!H10)</f>
        <v/>
      </c>
      <c r="L19" s="64" t="str">
        <f aca="false">IF('Debts &amp; Credit'!A10="","",'Debts &amp; Credit'!R10)</f>
        <v/>
      </c>
      <c r="M19" s="48"/>
    </row>
    <row r="20" customFormat="false" ht="10.5" hidden="false" customHeight="true" outlineLevel="0" collapsed="false">
      <c r="A20" s="48"/>
      <c r="B20" s="58" t="str">
        <f aca="false">IF(Budget!A11="","",Budget!A11)</f>
        <v>Trash / recycling</v>
      </c>
      <c r="C20" s="59" t="n">
        <f aca="false">IF(Budget!A11="","",Budget!K11)</f>
        <v>0</v>
      </c>
      <c r="D20" s="60" t="n">
        <f aca="false">IF(Budget!F11="","",Budget!F11)</f>
        <v>15</v>
      </c>
      <c r="E20" s="61" t="str">
        <f aca="false">IF(Budget!G11="","",Budget!G11)</f>
        <v/>
      </c>
      <c r="F20" s="48"/>
      <c r="G20" s="58" t="str">
        <f aca="false">IF('Debts &amp; Credit'!A11="","",'Debts &amp; Credit'!A11)</f>
        <v/>
      </c>
      <c r="H20" s="59" t="str">
        <f aca="false">IF('Debts &amp; Credit'!A11="","",'Debts &amp; Credit'!P11)</f>
        <v/>
      </c>
      <c r="I20" s="59" t="str">
        <f aca="false">IF('Debts &amp; Credit'!Q11="","",'Debts &amp; Credit'!Q11)</f>
        <v/>
      </c>
      <c r="J20" s="62" t="str">
        <f aca="false">IF('Debts &amp; Credit'!G11="","",'Debts &amp; Credit'!G11)</f>
        <v/>
      </c>
      <c r="K20" s="63" t="str">
        <f aca="false">IF('Debts &amp; Credit'!A11="","",'Debts &amp; Credit'!H11)</f>
        <v/>
      </c>
      <c r="L20" s="64" t="str">
        <f aca="false">IF('Debts &amp; Credit'!A11="","",'Debts &amp; Credit'!R11)</f>
        <v/>
      </c>
      <c r="M20" s="48"/>
    </row>
    <row r="21" customFormat="false" ht="10.5" hidden="false" customHeight="true" outlineLevel="0" collapsed="false">
      <c r="A21" s="48"/>
      <c r="B21" s="58" t="str">
        <f aca="false">IF(Budget!A12="","",Budget!A12)</f>
        <v>Internet</v>
      </c>
      <c r="C21" s="59" t="n">
        <f aca="false">IF(Budget!A12="","",Budget!K12)</f>
        <v>0</v>
      </c>
      <c r="D21" s="60" t="n">
        <f aca="false">IF(Budget!F12="","",Budget!F12)</f>
        <v>15</v>
      </c>
      <c r="E21" s="61" t="str">
        <f aca="false">IF(Budget!G12="","",Budget!G12)</f>
        <v/>
      </c>
      <c r="F21" s="48"/>
      <c r="G21" s="58" t="str">
        <f aca="false">IF('Debts &amp; Credit'!A12="","",'Debts &amp; Credit'!A12)</f>
        <v/>
      </c>
      <c r="H21" s="59" t="str">
        <f aca="false">IF('Debts &amp; Credit'!A12="","",'Debts &amp; Credit'!P12)</f>
        <v/>
      </c>
      <c r="I21" s="59" t="str">
        <f aca="false">IF('Debts &amp; Credit'!Q12="","",'Debts &amp; Credit'!Q12)</f>
        <v/>
      </c>
      <c r="J21" s="62" t="str">
        <f aca="false">IF('Debts &amp; Credit'!G12="","",'Debts &amp; Credit'!G12)</f>
        <v/>
      </c>
      <c r="K21" s="63" t="str">
        <f aca="false">IF('Debts &amp; Credit'!A12="","",'Debts &amp; Credit'!H12)</f>
        <v/>
      </c>
      <c r="L21" s="64" t="str">
        <f aca="false">IF('Debts &amp; Credit'!A12="","",'Debts &amp; Credit'!R12)</f>
        <v/>
      </c>
      <c r="M21" s="48"/>
    </row>
    <row r="22" customFormat="false" ht="10.5" hidden="false" customHeight="true" outlineLevel="0" collapsed="false">
      <c r="A22" s="48"/>
      <c r="B22" s="58" t="str">
        <f aca="false">IF(Budget!A13="","",Budget!A13)</f>
        <v>Cell phones</v>
      </c>
      <c r="C22" s="59" t="n">
        <f aca="false">IF(Budget!A13="","",Budget!K13)</f>
        <v>0</v>
      </c>
      <c r="D22" s="60" t="n">
        <f aca="false">IF(Budget!F13="","",Budget!F13)</f>
        <v>15</v>
      </c>
      <c r="E22" s="61" t="str">
        <f aca="false">IF(Budget!G13="","",Budget!G13)</f>
        <v/>
      </c>
      <c r="F22" s="48"/>
      <c r="G22" s="58" t="str">
        <f aca="false">IF('Debts &amp; Credit'!A13="","",'Debts &amp; Credit'!A13)</f>
        <v/>
      </c>
      <c r="H22" s="59" t="str">
        <f aca="false">IF('Debts &amp; Credit'!A13="","",'Debts &amp; Credit'!P13)</f>
        <v/>
      </c>
      <c r="I22" s="59" t="str">
        <f aca="false">IF('Debts &amp; Credit'!Q13="","",'Debts &amp; Credit'!Q13)</f>
        <v/>
      </c>
      <c r="J22" s="62" t="str">
        <f aca="false">IF('Debts &amp; Credit'!G13="","",'Debts &amp; Credit'!G13)</f>
        <v/>
      </c>
      <c r="K22" s="63" t="str">
        <f aca="false">IF('Debts &amp; Credit'!A13="","",'Debts &amp; Credit'!H13)</f>
        <v/>
      </c>
      <c r="L22" s="64" t="str">
        <f aca="false">IF('Debts &amp; Credit'!A13="","",'Debts &amp; Credit'!R13)</f>
        <v/>
      </c>
      <c r="M22" s="48"/>
    </row>
    <row r="23" customFormat="false" ht="10.5" hidden="false" customHeight="true" outlineLevel="0" collapsed="false">
      <c r="A23" s="48"/>
      <c r="B23" s="58" t="str">
        <f aca="false">IF(Budget!A14="","",Budget!A14)</f>
        <v>Streaming (Netflix, Spotify…)</v>
      </c>
      <c r="C23" s="59" t="n">
        <f aca="false">IF(Budget!A14="","",Budget!K14)</f>
        <v>0</v>
      </c>
      <c r="D23" s="60" t="n">
        <f aca="false">IF(Budget!F14="","",Budget!F14)</f>
        <v>1</v>
      </c>
      <c r="E23" s="61" t="str">
        <f aca="false">IF(Budget!G14="","",Budget!G14)</f>
        <v/>
      </c>
      <c r="F23" s="48"/>
      <c r="G23" s="58" t="str">
        <f aca="false">IF('Debts &amp; Credit'!A14="","",'Debts &amp; Credit'!A14)</f>
        <v/>
      </c>
      <c r="H23" s="59" t="str">
        <f aca="false">IF('Debts &amp; Credit'!A14="","",'Debts &amp; Credit'!P14)</f>
        <v/>
      </c>
      <c r="I23" s="59" t="str">
        <f aca="false">IF('Debts &amp; Credit'!Q14="","",'Debts &amp; Credit'!Q14)</f>
        <v/>
      </c>
      <c r="J23" s="62" t="str">
        <f aca="false">IF('Debts &amp; Credit'!G14="","",'Debts &amp; Credit'!G14)</f>
        <v/>
      </c>
      <c r="K23" s="63" t="str">
        <f aca="false">IF('Debts &amp; Credit'!A14="","",'Debts &amp; Credit'!H14)</f>
        <v/>
      </c>
      <c r="L23" s="64" t="str">
        <f aca="false">IF('Debts &amp; Credit'!A14="","",'Debts &amp; Credit'!R14)</f>
        <v/>
      </c>
      <c r="M23" s="48"/>
    </row>
    <row r="24" customFormat="false" ht="10.5" hidden="false" customHeight="true" outlineLevel="0" collapsed="false">
      <c r="A24" s="48"/>
      <c r="B24" s="58" t="str">
        <f aca="false">IF(Budget!A15="","",Budget!A15)</f>
        <v>Software &amp; apps</v>
      </c>
      <c r="C24" s="59" t="n">
        <f aca="false">IF(Budget!A15="","",Budget!K15)</f>
        <v>0</v>
      </c>
      <c r="D24" s="60" t="n">
        <f aca="false">IF(Budget!F15="","",Budget!F15)</f>
        <v>1</v>
      </c>
      <c r="E24" s="61" t="str">
        <f aca="false">IF(Budget!G15="","",Budget!G15)</f>
        <v/>
      </c>
      <c r="F24" s="48"/>
      <c r="G24" s="58" t="str">
        <f aca="false">IF('Debts &amp; Credit'!A15="","",'Debts &amp; Credit'!A15)</f>
        <v/>
      </c>
      <c r="H24" s="59" t="str">
        <f aca="false">IF('Debts &amp; Credit'!A15="","",'Debts &amp; Credit'!P15)</f>
        <v/>
      </c>
      <c r="I24" s="59" t="str">
        <f aca="false">IF('Debts &amp; Credit'!Q15="","",'Debts &amp; Credit'!Q15)</f>
        <v/>
      </c>
      <c r="J24" s="62" t="str">
        <f aca="false">IF('Debts &amp; Credit'!G15="","",'Debts &amp; Credit'!G15)</f>
        <v/>
      </c>
      <c r="K24" s="63" t="str">
        <f aca="false">IF('Debts &amp; Credit'!A15="","",'Debts &amp; Credit'!H15)</f>
        <v/>
      </c>
      <c r="L24" s="64" t="str">
        <f aca="false">IF('Debts &amp; Credit'!A15="","",'Debts &amp; Credit'!R15)</f>
        <v/>
      </c>
      <c r="M24" s="48"/>
    </row>
    <row r="25" customFormat="false" ht="10.5" hidden="false" customHeight="true" outlineLevel="0" collapsed="false">
      <c r="A25" s="48"/>
      <c r="B25" s="58" t="str">
        <f aca="false">IF(Budget!A16="","",Budget!A16)</f>
        <v>Car payment</v>
      </c>
      <c r="C25" s="59" t="n">
        <f aca="false">IF(Budget!A16="","",Budget!K16)</f>
        <v>0</v>
      </c>
      <c r="D25" s="60" t="n">
        <f aca="false">IF(Budget!F16="","",Budget!F16)</f>
        <v>1</v>
      </c>
      <c r="E25" s="61" t="str">
        <f aca="false">IF(Budget!G16="","",Budget!G16)</f>
        <v/>
      </c>
      <c r="F25" s="48"/>
      <c r="G25" s="58" t="str">
        <f aca="false">IF('Debts &amp; Credit'!A16="","",'Debts &amp; Credit'!A16)</f>
        <v/>
      </c>
      <c r="H25" s="59" t="str">
        <f aca="false">IF('Debts &amp; Credit'!A16="","",'Debts &amp; Credit'!P16)</f>
        <v/>
      </c>
      <c r="I25" s="59" t="str">
        <f aca="false">IF('Debts &amp; Credit'!Q16="","",'Debts &amp; Credit'!Q16)</f>
        <v/>
      </c>
      <c r="J25" s="62" t="str">
        <f aca="false">IF('Debts &amp; Credit'!G16="","",'Debts &amp; Credit'!G16)</f>
        <v/>
      </c>
      <c r="K25" s="63" t="str">
        <f aca="false">IF('Debts &amp; Credit'!A16="","",'Debts &amp; Credit'!H16)</f>
        <v/>
      </c>
      <c r="L25" s="64" t="str">
        <f aca="false">IF('Debts &amp; Credit'!A16="","",'Debts &amp; Credit'!R16)</f>
        <v/>
      </c>
      <c r="M25" s="48"/>
    </row>
    <row r="26" customFormat="false" ht="10.5" hidden="false" customHeight="true" outlineLevel="0" collapsed="false">
      <c r="A26" s="48"/>
      <c r="B26" s="58" t="str">
        <f aca="false">IF(Budget!A17="","",Budget!A17)</f>
        <v>Car insurance</v>
      </c>
      <c r="C26" s="59" t="n">
        <f aca="false">IF(Budget!A17="","",Budget!K17)</f>
        <v>0</v>
      </c>
      <c r="D26" s="60" t="n">
        <f aca="false">IF(Budget!F17="","",Budget!F17)</f>
        <v>1</v>
      </c>
      <c r="E26" s="61" t="str">
        <f aca="false">IF(Budget!G17="","",Budget!G17)</f>
        <v/>
      </c>
      <c r="F26" s="48"/>
      <c r="G26" s="58" t="str">
        <f aca="false">IF('Debts &amp; Credit'!A17="","",'Debts &amp; Credit'!A17)</f>
        <v/>
      </c>
      <c r="H26" s="59" t="str">
        <f aca="false">IF('Debts &amp; Credit'!A17="","",'Debts &amp; Credit'!P17)</f>
        <v/>
      </c>
      <c r="I26" s="59" t="str">
        <f aca="false">IF('Debts &amp; Credit'!Q17="","",'Debts &amp; Credit'!Q17)</f>
        <v/>
      </c>
      <c r="J26" s="62" t="str">
        <f aca="false">IF('Debts &amp; Credit'!G17="","",'Debts &amp; Credit'!G17)</f>
        <v/>
      </c>
      <c r="K26" s="63" t="str">
        <f aca="false">IF('Debts &amp; Credit'!A17="","",'Debts &amp; Credit'!H17)</f>
        <v/>
      </c>
      <c r="L26" s="64" t="str">
        <f aca="false">IF('Debts &amp; Credit'!A17="","",'Debts &amp; Credit'!R17)</f>
        <v/>
      </c>
      <c r="M26" s="48"/>
    </row>
    <row r="27" customFormat="false" ht="10.5" hidden="false" customHeight="true" outlineLevel="0" collapsed="false">
      <c r="A27" s="48"/>
      <c r="B27" s="58" t="str">
        <f aca="false">IF(Budget!A18="","",Budget!A18)</f>
        <v>Fuel</v>
      </c>
      <c r="C27" s="59" t="n">
        <f aca="false">IF(Budget!A18="","",Budget!K18)</f>
        <v>0</v>
      </c>
      <c r="D27" s="60" t="n">
        <f aca="false">IF(Budget!F18="","",Budget!F18)</f>
        <v>1</v>
      </c>
      <c r="E27" s="61" t="str">
        <f aca="false">IF(Budget!G18="","",Budget!G18)</f>
        <v/>
      </c>
      <c r="F27" s="48"/>
      <c r="G27" s="58" t="str">
        <f aca="false">IF('Debts &amp; Credit'!A18="","",'Debts &amp; Credit'!A18)</f>
        <v/>
      </c>
      <c r="H27" s="59" t="str">
        <f aca="false">IF('Debts &amp; Credit'!A18="","",'Debts &amp; Credit'!P18)</f>
        <v/>
      </c>
      <c r="I27" s="59" t="str">
        <f aca="false">IF('Debts &amp; Credit'!Q18="","",'Debts &amp; Credit'!Q18)</f>
        <v/>
      </c>
      <c r="J27" s="62" t="str">
        <f aca="false">IF('Debts &amp; Credit'!G18="","",'Debts &amp; Credit'!G18)</f>
        <v/>
      </c>
      <c r="K27" s="63" t="str">
        <f aca="false">IF('Debts &amp; Credit'!A18="","",'Debts &amp; Credit'!H18)</f>
        <v/>
      </c>
      <c r="L27" s="64" t="str">
        <f aca="false">IF('Debts &amp; Credit'!A18="","",'Debts &amp; Credit'!R18)</f>
        <v/>
      </c>
      <c r="M27" s="48"/>
    </row>
    <row r="28" customFormat="false" ht="10.5" hidden="false" customHeight="true" outlineLevel="0" collapsed="false">
      <c r="A28" s="48"/>
      <c r="B28" s="58" t="str">
        <f aca="false">IF(Budget!A19="","",Budget!A19)</f>
        <v>Parking &amp; tolls</v>
      </c>
      <c r="C28" s="59" t="n">
        <f aca="false">IF(Budget!A19="","",Budget!K19)</f>
        <v>0</v>
      </c>
      <c r="D28" s="60" t="n">
        <f aca="false">IF(Budget!F19="","",Budget!F19)</f>
        <v>1</v>
      </c>
      <c r="E28" s="61" t="str">
        <f aca="false">IF(Budget!G19="","",Budget!G19)</f>
        <v/>
      </c>
      <c r="F28" s="48"/>
      <c r="G28" s="58" t="str">
        <f aca="false">IF('Debts &amp; Credit'!A19="","",'Debts &amp; Credit'!A19)</f>
        <v/>
      </c>
      <c r="H28" s="59" t="str">
        <f aca="false">IF('Debts &amp; Credit'!A19="","",'Debts &amp; Credit'!P19)</f>
        <v/>
      </c>
      <c r="I28" s="59" t="str">
        <f aca="false">IF('Debts &amp; Credit'!Q19="","",'Debts &amp; Credit'!Q19)</f>
        <v/>
      </c>
      <c r="J28" s="62" t="str">
        <f aca="false">IF('Debts &amp; Credit'!G19="","",'Debts &amp; Credit'!G19)</f>
        <v/>
      </c>
      <c r="K28" s="63" t="str">
        <f aca="false">IF('Debts &amp; Credit'!A19="","",'Debts &amp; Credit'!H19)</f>
        <v/>
      </c>
      <c r="L28" s="64" t="str">
        <f aca="false">IF('Debts &amp; Credit'!A19="","",'Debts &amp; Credit'!R19)</f>
        <v/>
      </c>
      <c r="M28" s="48"/>
    </row>
    <row r="29" customFormat="false" ht="10.5" hidden="false" customHeight="true" outlineLevel="0" collapsed="false">
      <c r="A29" s="48"/>
      <c r="B29" s="58" t="str">
        <f aca="false">IF(Budget!A20="","",Budget!A20)</f>
        <v>Groceries &amp; household</v>
      </c>
      <c r="C29" s="59" t="n">
        <f aca="false">IF(Budget!A20="","",Budget!K20)</f>
        <v>0</v>
      </c>
      <c r="D29" s="60" t="n">
        <f aca="false">IF(Budget!F20="","",Budget!F20)</f>
        <v>1</v>
      </c>
      <c r="E29" s="61" t="str">
        <f aca="false">IF(Budget!G20="","",Budget!G20)</f>
        <v/>
      </c>
      <c r="F29" s="48"/>
      <c r="G29" s="58" t="str">
        <f aca="false">IF('Debts &amp; Credit'!A20="","",'Debts &amp; Credit'!A20)</f>
        <v/>
      </c>
      <c r="H29" s="59" t="str">
        <f aca="false">IF('Debts &amp; Credit'!A20="","",'Debts &amp; Credit'!P20)</f>
        <v/>
      </c>
      <c r="I29" s="59" t="str">
        <f aca="false">IF('Debts &amp; Credit'!Q20="","",'Debts &amp; Credit'!Q20)</f>
        <v/>
      </c>
      <c r="J29" s="62" t="str">
        <f aca="false">IF('Debts &amp; Credit'!G20="","",'Debts &amp; Credit'!G20)</f>
        <v/>
      </c>
      <c r="K29" s="63" t="str">
        <f aca="false">IF('Debts &amp; Credit'!A20="","",'Debts &amp; Credit'!H20)</f>
        <v/>
      </c>
      <c r="L29" s="64" t="str">
        <f aca="false">IF('Debts &amp; Credit'!A20="","",'Debts &amp; Credit'!R20)</f>
        <v/>
      </c>
      <c r="M29" s="48"/>
    </row>
    <row r="30" customFormat="false" ht="10.5" hidden="false" customHeight="true" outlineLevel="0" collapsed="false">
      <c r="A30" s="48"/>
      <c r="B30" s="58" t="str">
        <f aca="false">IF(Budget!A21="","",Budget!A21)</f>
        <v>Dining out</v>
      </c>
      <c r="C30" s="59" t="n">
        <f aca="false">IF(Budget!A21="","",Budget!K21)</f>
        <v>0</v>
      </c>
      <c r="D30" s="60" t="n">
        <f aca="false">IF(Budget!F21="","",Budget!F21)</f>
        <v>1</v>
      </c>
      <c r="E30" s="61" t="str">
        <f aca="false">IF(Budget!G21="","",Budget!G21)</f>
        <v/>
      </c>
      <c r="F30" s="48"/>
      <c r="G30" s="58" t="str">
        <f aca="false">IF('Debts &amp; Credit'!A21="","",'Debts &amp; Credit'!A21)</f>
        <v/>
      </c>
      <c r="H30" s="59" t="str">
        <f aca="false">IF('Debts &amp; Credit'!A21="","",'Debts &amp; Credit'!P21)</f>
        <v/>
      </c>
      <c r="I30" s="59" t="str">
        <f aca="false">IF('Debts &amp; Credit'!Q21="","",'Debts &amp; Credit'!Q21)</f>
        <v/>
      </c>
      <c r="J30" s="62" t="str">
        <f aca="false">IF('Debts &amp; Credit'!G21="","",'Debts &amp; Credit'!G21)</f>
        <v/>
      </c>
      <c r="K30" s="63" t="str">
        <f aca="false">IF('Debts &amp; Credit'!A21="","",'Debts &amp; Credit'!H21)</f>
        <v/>
      </c>
      <c r="L30" s="64" t="str">
        <f aca="false">IF('Debts &amp; Credit'!A21="","",'Debts &amp; Credit'!R21)</f>
        <v/>
      </c>
      <c r="M30" s="48"/>
    </row>
    <row r="31" customFormat="false" ht="10.5" hidden="false" customHeight="true" outlineLevel="0" collapsed="false">
      <c r="A31" s="48"/>
      <c r="B31" s="58" t="str">
        <f aca="false">IF(Budget!A22="","",Budget!A22)</f>
        <v>Health insurance premium</v>
      </c>
      <c r="C31" s="59" t="n">
        <f aca="false">IF(Budget!A22="","",Budget!K22)</f>
        <v>0</v>
      </c>
      <c r="D31" s="60" t="n">
        <f aca="false">IF(Budget!F22="","",Budget!F22)</f>
        <v>1</v>
      </c>
      <c r="E31" s="61" t="str">
        <f aca="false">IF(Budget!G22="","",Budget!G22)</f>
        <v/>
      </c>
      <c r="F31" s="48"/>
      <c r="G31" s="58" t="str">
        <f aca="false">IF('Debts &amp; Credit'!A22="","",'Debts &amp; Credit'!A22)</f>
        <v/>
      </c>
      <c r="H31" s="59" t="str">
        <f aca="false">IF('Debts &amp; Credit'!A22="","",'Debts &amp; Credit'!P22)</f>
        <v/>
      </c>
      <c r="I31" s="59" t="str">
        <f aca="false">IF('Debts &amp; Credit'!Q22="","",'Debts &amp; Credit'!Q22)</f>
        <v/>
      </c>
      <c r="J31" s="62" t="str">
        <f aca="false">IF('Debts &amp; Credit'!G22="","",'Debts &amp; Credit'!G22)</f>
        <v/>
      </c>
      <c r="K31" s="63" t="str">
        <f aca="false">IF('Debts &amp; Credit'!A22="","",'Debts &amp; Credit'!H22)</f>
        <v/>
      </c>
      <c r="L31" s="64" t="str">
        <f aca="false">IF('Debts &amp; Credit'!A22="","",'Debts &amp; Credit'!R22)</f>
        <v/>
      </c>
      <c r="M31" s="48"/>
    </row>
    <row r="32" customFormat="false" ht="10.5" hidden="false" customHeight="true" outlineLevel="0" collapsed="false">
      <c r="A32" s="48"/>
      <c r="B32" s="58" t="str">
        <f aca="false">IF(Budget!A23="","",Budget!A23)</f>
        <v>Doctor &amp; dental</v>
      </c>
      <c r="C32" s="59" t="n">
        <f aca="false">IF(Budget!A23="","",Budget!K23)</f>
        <v>0</v>
      </c>
      <c r="D32" s="60" t="n">
        <f aca="false">IF(Budget!F23="","",Budget!F23)</f>
        <v>1</v>
      </c>
      <c r="E32" s="61" t="str">
        <f aca="false">IF(Budget!G23="","",Budget!G23)</f>
        <v/>
      </c>
      <c r="F32" s="48"/>
      <c r="G32" s="58" t="str">
        <f aca="false">IF('Debts &amp; Credit'!A23="","",'Debts &amp; Credit'!A23)</f>
        <v/>
      </c>
      <c r="H32" s="59" t="str">
        <f aca="false">IF('Debts &amp; Credit'!A23="","",'Debts &amp; Credit'!P23)</f>
        <v/>
      </c>
      <c r="I32" s="59" t="str">
        <f aca="false">IF('Debts &amp; Credit'!Q23="","",'Debts &amp; Credit'!Q23)</f>
        <v/>
      </c>
      <c r="J32" s="62" t="str">
        <f aca="false">IF('Debts &amp; Credit'!G23="","",'Debts &amp; Credit'!G23)</f>
        <v/>
      </c>
      <c r="K32" s="63" t="str">
        <f aca="false">IF('Debts &amp; Credit'!A23="","",'Debts &amp; Credit'!H23)</f>
        <v/>
      </c>
      <c r="L32" s="64" t="str">
        <f aca="false">IF('Debts &amp; Credit'!A23="","",'Debts &amp; Credit'!R23)</f>
        <v/>
      </c>
      <c r="M32" s="48"/>
    </row>
    <row r="33" customFormat="false" ht="10.5" hidden="false" customHeight="true" outlineLevel="0" collapsed="false">
      <c r="A33" s="48"/>
      <c r="B33" s="58" t="str">
        <f aca="false">IF(Budget!A24="","",Budget!A24)</f>
        <v>Prescriptions</v>
      </c>
      <c r="C33" s="59" t="n">
        <f aca="false">IF(Budget!A24="","",Budget!K24)</f>
        <v>0</v>
      </c>
      <c r="D33" s="60" t="n">
        <f aca="false">IF(Budget!F24="","",Budget!F24)</f>
        <v>15</v>
      </c>
      <c r="E33" s="61" t="str">
        <f aca="false">IF(Budget!G24="","",Budget!G24)</f>
        <v/>
      </c>
      <c r="F33" s="48"/>
      <c r="G33" s="58" t="str">
        <f aca="false">IF('Debts &amp; Credit'!A24="","",'Debts &amp; Credit'!A24)</f>
        <v/>
      </c>
      <c r="H33" s="59" t="str">
        <f aca="false">IF('Debts &amp; Credit'!A24="","",'Debts &amp; Credit'!P24)</f>
        <v/>
      </c>
      <c r="I33" s="59" t="str">
        <f aca="false">IF('Debts &amp; Credit'!Q24="","",'Debts &amp; Credit'!Q24)</f>
        <v/>
      </c>
      <c r="J33" s="62" t="str">
        <f aca="false">IF('Debts &amp; Credit'!G24="","",'Debts &amp; Credit'!G24)</f>
        <v/>
      </c>
      <c r="K33" s="63" t="str">
        <f aca="false">IF('Debts &amp; Credit'!A24="","",'Debts &amp; Credit'!H24)</f>
        <v/>
      </c>
      <c r="L33" s="64" t="str">
        <f aca="false">IF('Debts &amp; Credit'!A24="","",'Debts &amp; Credit'!R24)</f>
        <v/>
      </c>
      <c r="M33" s="48"/>
    </row>
    <row r="34" customFormat="false" ht="10.5" hidden="false" customHeight="true" outlineLevel="0" collapsed="false">
      <c r="A34" s="48"/>
      <c r="B34" s="58" t="str">
        <f aca="false">IF(Budget!A25="","",Budget!A25)</f>
        <v>Gym / fitness</v>
      </c>
      <c r="C34" s="59" t="n">
        <f aca="false">IF(Budget!A25="","",Budget!K25)</f>
        <v>0</v>
      </c>
      <c r="D34" s="60" t="n">
        <f aca="false">IF(Budget!F25="","",Budget!F25)</f>
        <v>1</v>
      </c>
      <c r="E34" s="61" t="str">
        <f aca="false">IF(Budget!G25="","",Budget!G25)</f>
        <v/>
      </c>
      <c r="F34" s="48"/>
      <c r="G34" s="58" t="str">
        <f aca="false">IF('Debts &amp; Credit'!A25="","",'Debts &amp; Credit'!A25)</f>
        <v/>
      </c>
      <c r="H34" s="59" t="str">
        <f aca="false">IF('Debts &amp; Credit'!A25="","",'Debts &amp; Credit'!P25)</f>
        <v/>
      </c>
      <c r="I34" s="59" t="str">
        <f aca="false">IF('Debts &amp; Credit'!Q25="","",'Debts &amp; Credit'!Q25)</f>
        <v/>
      </c>
      <c r="J34" s="62" t="str">
        <f aca="false">IF('Debts &amp; Credit'!G25="","",'Debts &amp; Credit'!G25)</f>
        <v/>
      </c>
      <c r="K34" s="63" t="str">
        <f aca="false">IF('Debts &amp; Credit'!A25="","",'Debts &amp; Credit'!H25)</f>
        <v/>
      </c>
      <c r="L34" s="64" t="str">
        <f aca="false">IF('Debts &amp; Credit'!A25="","",'Debts &amp; Credit'!R25)</f>
        <v/>
      </c>
      <c r="M34" s="48"/>
    </row>
    <row r="35" customFormat="false" ht="10.5" hidden="false" customHeight="true" outlineLevel="0" collapsed="false">
      <c r="A35" s="48"/>
      <c r="B35" s="58" t="str">
        <f aca="false">IF(Budget!A26="","",Budget!A26)</f>
        <v>Childcare / daycare</v>
      </c>
      <c r="C35" s="59" t="n">
        <f aca="false">IF(Budget!A26="","",Budget!K26)</f>
        <v>0</v>
      </c>
      <c r="D35" s="60" t="n">
        <f aca="false">IF(Budget!F26="","",Budget!F26)</f>
        <v>1</v>
      </c>
      <c r="E35" s="61" t="str">
        <f aca="false">IF(Budget!G26="","",Budget!G26)</f>
        <v/>
      </c>
      <c r="F35" s="48"/>
      <c r="G35" s="58" t="str">
        <f aca="false">IF('Debts &amp; Credit'!A26="","",'Debts &amp; Credit'!A26)</f>
        <v/>
      </c>
      <c r="H35" s="59" t="str">
        <f aca="false">IF('Debts &amp; Credit'!A26="","",'Debts &amp; Credit'!P26)</f>
        <v/>
      </c>
      <c r="I35" s="59" t="str">
        <f aca="false">IF('Debts &amp; Credit'!Q26="","",'Debts &amp; Credit'!Q26)</f>
        <v/>
      </c>
      <c r="J35" s="62" t="str">
        <f aca="false">IF('Debts &amp; Credit'!G26="","",'Debts &amp; Credit'!G26)</f>
        <v/>
      </c>
      <c r="K35" s="63" t="str">
        <f aca="false">IF('Debts &amp; Credit'!A26="","",'Debts &amp; Credit'!H26)</f>
        <v/>
      </c>
      <c r="L35" s="64" t="str">
        <f aca="false">IF('Debts &amp; Credit'!A26="","",'Debts &amp; Credit'!R26)</f>
        <v/>
      </c>
      <c r="M35" s="48"/>
    </row>
    <row r="36" customFormat="false" ht="10.5" hidden="false" customHeight="true" outlineLevel="0" collapsed="false">
      <c r="A36" s="48"/>
      <c r="B36" s="58" t="str">
        <f aca="false">IF(Budget!A27="","",Budget!A27)</f>
        <v>Family support (sent abroad)</v>
      </c>
      <c r="C36" s="59" t="n">
        <f aca="false">IF(Budget!A27="","",Budget!K27)</f>
        <v>0</v>
      </c>
      <c r="D36" s="60" t="n">
        <f aca="false">IF(Budget!F27="","",Budget!F27)</f>
        <v>15</v>
      </c>
      <c r="E36" s="61" t="str">
        <f aca="false">IF(Budget!G27="","",Budget!G27)</f>
        <v/>
      </c>
      <c r="F36" s="48"/>
      <c r="G36" s="58" t="str">
        <f aca="false">IF('Debts &amp; Credit'!A27="","",'Debts &amp; Credit'!A27)</f>
        <v/>
      </c>
      <c r="H36" s="59" t="str">
        <f aca="false">IF('Debts &amp; Credit'!A27="","",'Debts &amp; Credit'!P27)</f>
        <v/>
      </c>
      <c r="I36" s="59" t="str">
        <f aca="false">IF('Debts &amp; Credit'!Q27="","",'Debts &amp; Credit'!Q27)</f>
        <v/>
      </c>
      <c r="J36" s="62" t="str">
        <f aca="false">IF('Debts &amp; Credit'!G27="","",'Debts &amp; Credit'!G27)</f>
        <v/>
      </c>
      <c r="K36" s="63" t="str">
        <f aca="false">IF('Debts &amp; Credit'!A27="","",'Debts &amp; Credit'!H27)</f>
        <v/>
      </c>
      <c r="L36" s="64" t="str">
        <f aca="false">IF('Debts &amp; Credit'!A27="","",'Debts &amp; Credit'!R27)</f>
        <v/>
      </c>
      <c r="M36" s="48"/>
    </row>
    <row r="37" customFormat="false" ht="10.5" hidden="false" customHeight="true" outlineLevel="0" collapsed="false">
      <c r="A37" s="48"/>
      <c r="B37" s="58" t="str">
        <f aca="false">IF(Budget!A28="","",Budget!A28)</f>
        <v>Pets</v>
      </c>
      <c r="C37" s="59" t="n">
        <f aca="false">IF(Budget!A28="","",Budget!K28)</f>
        <v>0</v>
      </c>
      <c r="D37" s="60" t="n">
        <f aca="false">IF(Budget!F28="","",Budget!F28)</f>
        <v>1</v>
      </c>
      <c r="E37" s="61" t="str">
        <f aca="false">IF(Budget!G28="","",Budget!G28)</f>
        <v/>
      </c>
      <c r="F37" s="48"/>
      <c r="G37" s="65" t="s">
        <v>86</v>
      </c>
      <c r="H37" s="66" t="n">
        <f aca="false">'Debts &amp; Credit'!$D$28</f>
        <v>0</v>
      </c>
      <c r="I37" s="66" t="n">
        <f aca="false">'Debts &amp; Credit'!$E$28</f>
        <v>0</v>
      </c>
      <c r="J37" s="67" t="n">
        <f aca="false">'Debts &amp; Credit'!$G$28</f>
        <v>0</v>
      </c>
      <c r="K37" s="68"/>
      <c r="L37" s="69" t="n">
        <f aca="false">SUMIF('Debts &amp; Credit'!E5:E27,"&gt;0",'Debts &amp; Credit'!R5:R27)</f>
        <v>0</v>
      </c>
      <c r="M37" s="48"/>
    </row>
    <row r="38" customFormat="false" ht="10.5" hidden="false" customHeight="true" outlineLevel="0" collapsed="false">
      <c r="A38" s="48"/>
      <c r="B38" s="58" t="str">
        <f aca="false">IF(Budget!A29="","",Budget!A29)</f>
        <v>Clothing &amp; shoes</v>
      </c>
      <c r="C38" s="59" t="n">
        <f aca="false">IF(Budget!A29="","",Budget!K29)</f>
        <v>0</v>
      </c>
      <c r="D38" s="60" t="n">
        <f aca="false">IF(Budget!F29="","",Budget!F29)</f>
        <v>1</v>
      </c>
      <c r="E38" s="61" t="str">
        <f aca="false">IF(Budget!G29="","",Budget!G29)</f>
        <v/>
      </c>
      <c r="F38" s="48"/>
      <c r="G38" s="65" t="s">
        <v>87</v>
      </c>
      <c r="H38" s="66" t="n">
        <f aca="false">'Debts &amp; Credit'!$D$29</f>
        <v>0</v>
      </c>
      <c r="I38" s="68"/>
      <c r="J38" s="68"/>
      <c r="K38" s="68"/>
      <c r="L38" s="69" t="n">
        <f aca="false">'Debts &amp; Credit'!$I$30</f>
        <v>0</v>
      </c>
      <c r="M38" s="48"/>
    </row>
    <row r="39" customFormat="false" ht="10.5" hidden="false" customHeight="true" outlineLevel="0" collapsed="false">
      <c r="A39" s="48"/>
      <c r="B39" s="58" t="str">
        <f aca="false">IF(Budget!A30="","",Budget!A30)</f>
        <v>Entertainment &amp; hobbies</v>
      </c>
      <c r="C39" s="59" t="n">
        <f aca="false">IF(Budget!A30="","",Budget!K30)</f>
        <v>0</v>
      </c>
      <c r="D39" s="60" t="n">
        <f aca="false">IF(Budget!F30="","",Budget!F30)</f>
        <v>1</v>
      </c>
      <c r="E39" s="61" t="str">
        <f aca="false">IF(Budget!G30="","",Budget!G30)</f>
        <v/>
      </c>
      <c r="F39" s="48"/>
      <c r="G39" s="58" t="s">
        <v>88</v>
      </c>
      <c r="H39" s="59" t="n">
        <f aca="false">'Debts &amp; Credit'!N28</f>
        <v>0</v>
      </c>
      <c r="I39" s="70"/>
      <c r="J39" s="70"/>
      <c r="K39" s="70"/>
      <c r="L39" s="71"/>
      <c r="M39" s="48"/>
    </row>
    <row r="40" customFormat="false" ht="10.5" hidden="false" customHeight="true" outlineLevel="0" collapsed="false">
      <c r="A40" s="48"/>
      <c r="B40" s="58" t="str">
        <f aca="false">IF(Budget!A31="","",Budget!A31)</f>
        <v>Gifts</v>
      </c>
      <c r="C40" s="59" t="n">
        <f aca="false">IF(Budget!A31="","",Budget!K31)</f>
        <v>0</v>
      </c>
      <c r="D40" s="60" t="n">
        <f aca="false">IF(Budget!F31="","",Budget!F31)</f>
        <v>1</v>
      </c>
      <c r="E40" s="61" t="str">
        <f aca="false">IF(Budget!G31="","",Budget!G31)</f>
        <v/>
      </c>
      <c r="F40" s="48"/>
      <c r="G40" s="58" t="s">
        <v>89</v>
      </c>
      <c r="H40" s="72" t="n">
        <f aca="false">'Debts &amp; Credit'!M3</f>
        <v>0</v>
      </c>
      <c r="I40" s="73" t="str">
        <f aca="false">IFERROR("pay first: "&amp;INDEX('Debts &amp; Credit'!A5:A27,MATCH(1,'Debts &amp; Credit'!O5:O27,0)),"")</f>
        <v/>
      </c>
      <c r="J40" s="73"/>
      <c r="K40" s="73"/>
      <c r="L40" s="73"/>
      <c r="M40" s="48"/>
    </row>
    <row r="41" customFormat="false" ht="10.5" hidden="false" customHeight="true" outlineLevel="0" collapsed="false">
      <c r="A41" s="48"/>
      <c r="B41" s="58" t="str">
        <f aca="false">IF(Budget!A32="","",Budget!A32)</f>
        <v>Credit-card payment</v>
      </c>
      <c r="C41" s="59" t="n">
        <f aca="false">IF(Budget!A32="","",Budget!K32)</f>
        <v>0</v>
      </c>
      <c r="D41" s="60" t="n">
        <f aca="false">IF(Budget!F32="","",Budget!F32)</f>
        <v>1</v>
      </c>
      <c r="E41" s="61" t="str">
        <f aca="false">IF(Budget!G32="","",Budget!G32)</f>
        <v/>
      </c>
      <c r="F41" s="48"/>
      <c r="G41" s="74" t="s">
        <v>90</v>
      </c>
      <c r="H41" s="75" t="str">
        <f aca="false">IF(Inputs!$B$75="","—",Inputs!$B$75)</f>
        <v>—</v>
      </c>
      <c r="I41" s="76"/>
      <c r="J41" s="76"/>
      <c r="K41" s="76"/>
      <c r="L41" s="77"/>
      <c r="M41" s="48"/>
    </row>
    <row r="42" customFormat="false" ht="10.5" hidden="false" customHeight="true" outlineLevel="0" collapsed="false">
      <c r="A42" s="48"/>
      <c r="B42" s="58" t="str">
        <f aca="false">IF(Budget!A33="","",Budget!A33)</f>
        <v>Student loan</v>
      </c>
      <c r="C42" s="59" t="n">
        <f aca="false">IF(Budget!A33="","",Budget!K33)</f>
        <v>0</v>
      </c>
      <c r="D42" s="60" t="n">
        <f aca="false">IF(Budget!F33="","",Budget!F33)</f>
        <v>1</v>
      </c>
      <c r="E42" s="61" t="str">
        <f aca="false">IF(Budget!G33="","",Budget!G33)</f>
        <v/>
      </c>
      <c r="F42" s="48"/>
      <c r="G42" s="48"/>
      <c r="H42" s="48"/>
      <c r="I42" s="48"/>
      <c r="J42" s="48"/>
      <c r="K42" s="48"/>
      <c r="L42" s="48"/>
      <c r="M42" s="48"/>
    </row>
    <row r="43" customFormat="false" ht="10.5" hidden="false" customHeight="true" outlineLevel="0" collapsed="false">
      <c r="A43" s="48"/>
      <c r="B43" s="58" t="str">
        <f aca="false">IF(Budget!A34="","",Budget!A34)</f>
        <v>Unplanned / other</v>
      </c>
      <c r="C43" s="59" t="n">
        <f aca="false">IF(Budget!A34="","",Budget!K34)</f>
        <v>0</v>
      </c>
      <c r="D43" s="60" t="n">
        <f aca="false">IF(Budget!F34="","",Budget!F34)</f>
        <v>1</v>
      </c>
      <c r="E43" s="61" t="str">
        <f aca="false">IF(Budget!G34="","",Budget!G34)</f>
        <v/>
      </c>
      <c r="F43" s="48"/>
      <c r="G43" s="48"/>
      <c r="H43" s="48"/>
      <c r="I43" s="48"/>
      <c r="J43" s="48"/>
      <c r="K43" s="48"/>
      <c r="L43" s="48"/>
      <c r="M43" s="48"/>
    </row>
    <row r="44" customFormat="false" ht="10.5" hidden="false" customHeight="true" outlineLevel="0" collapsed="false">
      <c r="A44" s="48"/>
      <c r="B44" s="65" t="s">
        <v>91</v>
      </c>
      <c r="C44" s="66" t="n">
        <f aca="false">Budget!$C$38</f>
        <v>0</v>
      </c>
      <c r="D44" s="68"/>
      <c r="E44" s="78"/>
      <c r="F44" s="48"/>
      <c r="G44" s="48"/>
      <c r="H44" s="48"/>
      <c r="I44" s="48"/>
      <c r="J44" s="48"/>
      <c r="K44" s="48"/>
      <c r="L44" s="48"/>
      <c r="M44" s="48"/>
    </row>
    <row r="45" customFormat="false" ht="10.5" hidden="false" customHeight="true" outlineLevel="0" collapsed="false">
      <c r="A45" s="48"/>
      <c r="B45" s="58" t="s">
        <v>92</v>
      </c>
      <c r="C45" s="59" t="n">
        <f aca="false">Inputs!$B$16</f>
        <v>0</v>
      </c>
      <c r="D45" s="70"/>
      <c r="E45" s="71"/>
      <c r="F45" s="48"/>
      <c r="G45" s="48"/>
      <c r="H45" s="48"/>
      <c r="I45" s="48"/>
      <c r="J45" s="48"/>
      <c r="K45" s="48"/>
      <c r="L45" s="48"/>
      <c r="M45" s="48"/>
    </row>
    <row r="46" customFormat="false" ht="10.5" hidden="false" customHeight="true" outlineLevel="0" collapsed="false">
      <c r="A46" s="48"/>
      <c r="B46" s="58" t="s">
        <v>93</v>
      </c>
      <c r="C46" s="59" t="n">
        <f aca="false">Forecast!C41</f>
        <v>0</v>
      </c>
      <c r="D46" s="70"/>
      <c r="E46" s="71"/>
      <c r="F46" s="48"/>
      <c r="G46" s="48"/>
      <c r="H46" s="48"/>
      <c r="I46" s="48"/>
      <c r="J46" s="48"/>
      <c r="K46" s="48"/>
      <c r="L46" s="48"/>
      <c r="M46" s="48"/>
    </row>
    <row r="47" customFormat="false" ht="10.5" hidden="false" customHeight="true" outlineLevel="0" collapsed="false">
      <c r="A47" s="48"/>
      <c r="B47" s="65" t="s">
        <v>94</v>
      </c>
      <c r="C47" s="66" t="n">
        <f aca="false">C45+C46-C44</f>
        <v>0</v>
      </c>
      <c r="D47" s="68"/>
      <c r="E47" s="78"/>
      <c r="F47" s="48"/>
      <c r="G47" s="48"/>
      <c r="H47" s="48"/>
      <c r="I47" s="48"/>
      <c r="J47" s="48"/>
      <c r="K47" s="48"/>
      <c r="L47" s="48"/>
      <c r="M47" s="48"/>
    </row>
    <row r="48" customFormat="false" ht="10.5" hidden="false" customHeight="true" outlineLevel="0" collapsed="false">
      <c r="A48" s="48"/>
      <c r="B48" s="74" t="s">
        <v>95</v>
      </c>
      <c r="C48" s="79" t="n">
        <f aca="true">SUMIFS('Expense Log'!$K$5:$K$604,'Expense Log'!$H$5:$H$604,DATE(YEAR(TODAY()),MONTH(TODAY()),1),'Expense Log'!$L$5:$L$604,"&lt;&gt;Income",'Expense Log'!$L$5:$L$604,"&lt;&gt;Transfer")</f>
        <v>86.42</v>
      </c>
      <c r="D48" s="80" t="str">
        <f aca="true">IF(Budget!$C$38=0,"",IF(C48/Budget!$C$38&lt;=DAY(TODAY())/DAY(EOMONTH(TODAY(),0))+0.05,"on pace","ahead"))</f>
        <v/>
      </c>
      <c r="E48" s="80"/>
      <c r="F48" s="48"/>
      <c r="G48" s="48"/>
      <c r="H48" s="48"/>
      <c r="I48" s="48"/>
      <c r="J48" s="48"/>
      <c r="K48" s="48"/>
      <c r="L48" s="48"/>
      <c r="M48" s="48"/>
    </row>
    <row r="49" customFormat="false" ht="10.5" hidden="false" customHeight="true" outlineLevel="0" collapsed="false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customFormat="false" ht="19.5" hidden="false" customHeight="true" outlineLevel="0" collapsed="false">
      <c r="A50" s="7"/>
      <c r="B50" s="81" t="s">
        <v>96</v>
      </c>
      <c r="C50" s="7"/>
      <c r="D50" s="7"/>
      <c r="E50" s="7"/>
      <c r="F50" s="7"/>
      <c r="G50" s="7"/>
      <c r="H50" s="7"/>
      <c r="I50" s="7"/>
      <c r="J50" s="7"/>
      <c r="K50" s="7"/>
      <c r="L50" s="47" t="str">
        <f aca="false">"Updated "&amp;TEXT(Inputs!$B$9,"mmm d, yyyy")</f>
        <v>Updated Oct 13, 2026</v>
      </c>
      <c r="M50" s="7"/>
    </row>
    <row r="51" customFormat="false" ht="6.75" hidden="false" customHeight="true" outlineLevel="0" collapsed="false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customFormat="false" ht="18.75" hidden="false" customHeight="true" outlineLevel="0" collapsed="false">
      <c r="A52" s="48"/>
      <c r="B52" s="56" t="str">
        <f aca="false">IF(Setup!$B$17="","MONEY IN OVER THE NEXT 20 MONTHS","MONEY IN BEFORE THE CHANGE  ("&amp;TEXT(Inputs!$B$6,"mmm d, yyyy")&amp;")")</f>
        <v>MONEY IN OVER THE NEXT 20 MONTHS</v>
      </c>
      <c r="C52" s="3"/>
      <c r="D52" s="3"/>
      <c r="E52" s="3"/>
      <c r="F52" s="48"/>
      <c r="G52" s="56" t="s">
        <v>97</v>
      </c>
      <c r="H52" s="3"/>
      <c r="I52" s="3"/>
      <c r="J52" s="3"/>
      <c r="K52" s="3"/>
      <c r="L52" s="3"/>
      <c r="M52" s="48"/>
    </row>
    <row r="53" customFormat="false" ht="10.5" hidden="false" customHeight="true" outlineLevel="0" collapsed="false">
      <c r="A53" s="48"/>
      <c r="B53" s="82" t="s">
        <v>98</v>
      </c>
      <c r="C53" s="83" t="n">
        <f aca="false">SUMPRODUCT((Forecast!$C$4:$V$4&lt;=0)*Forecast!$C$5:$V$5)</f>
        <v>43.4</v>
      </c>
      <c r="D53" s="84"/>
      <c r="E53" s="85"/>
      <c r="F53" s="48"/>
      <c r="G53" s="82" t="str">
        <f aca="false">Accounts!A5</f>
        <v>Main checking</v>
      </c>
      <c r="H53" s="86" t="n">
        <f aca="false">Accounts!F5</f>
        <v>0</v>
      </c>
      <c r="I53" s="87" t="str">
        <f aca="false">IF(Accounts!I5="stale","stale","")</f>
        <v/>
      </c>
      <c r="J53" s="84"/>
      <c r="K53" s="84"/>
      <c r="L53" s="85"/>
      <c r="M53" s="48"/>
    </row>
    <row r="54" customFormat="false" ht="10.5" hidden="false" customHeight="true" outlineLevel="0" collapsed="false">
      <c r="A54" s="48"/>
      <c r="B54" s="58" t="s">
        <v>99</v>
      </c>
      <c r="C54" s="59" t="n">
        <f aca="false">SUMPRODUCT((Forecast!$C$4:$V$4&lt;=0)*Forecast!$C$36:$V$36)</f>
        <v>0</v>
      </c>
      <c r="D54" s="70"/>
      <c r="E54" s="71"/>
      <c r="F54" s="48"/>
      <c r="G54" s="58" t="str">
        <f aca="false">Accounts!A6</f>
        <v>Savings</v>
      </c>
      <c r="H54" s="59" t="n">
        <f aca="false">Accounts!F6</f>
        <v>0</v>
      </c>
      <c r="I54" s="88" t="str">
        <f aca="false">IF(Accounts!I6="stale","stale","")</f>
        <v/>
      </c>
      <c r="J54" s="70"/>
      <c r="K54" s="70"/>
      <c r="L54" s="71"/>
      <c r="M54" s="48"/>
    </row>
    <row r="55" customFormat="false" ht="10.5" hidden="false" customHeight="true" outlineLevel="0" collapsed="false">
      <c r="A55" s="48"/>
      <c r="B55" s="58" t="s">
        <v>100</v>
      </c>
      <c r="C55" s="59" t="n">
        <f aca="false">SUMPRODUCT((Forecast!$C$4:$V$4&lt;=0)*Forecast!$C$41:$V$41)</f>
        <v>0</v>
      </c>
      <c r="D55" s="70"/>
      <c r="E55" s="71"/>
      <c r="F55" s="48"/>
      <c r="G55" s="58" t="str">
        <f aca="false">Accounts!A7</f>
        <v>Partner checking</v>
      </c>
      <c r="H55" s="59" t="n">
        <f aca="false">Accounts!F7</f>
        <v>0</v>
      </c>
      <c r="I55" s="88" t="str">
        <f aca="false">IF(Accounts!I7="stale","stale","")</f>
        <v/>
      </c>
      <c r="J55" s="70"/>
      <c r="K55" s="70"/>
      <c r="L55" s="71"/>
      <c r="M55" s="48"/>
    </row>
    <row r="56" customFormat="false" ht="10.5" hidden="false" customHeight="true" outlineLevel="0" collapsed="false">
      <c r="A56" s="48"/>
      <c r="B56" s="58" t="s">
        <v>101</v>
      </c>
      <c r="C56" s="59" t="n">
        <f aca="false">SUMPRODUCT((Forecast!$C$4:$V$4&lt;=0)*Forecast!$C$11:$V$11)</f>
        <v>0</v>
      </c>
      <c r="D56" s="70"/>
      <c r="E56" s="71"/>
      <c r="F56" s="48"/>
      <c r="G56" s="58" t="str">
        <f aca="false">Accounts!A8</f>
        <v>Partner savings</v>
      </c>
      <c r="H56" s="59" t="n">
        <f aca="false">Accounts!F8</f>
        <v>0</v>
      </c>
      <c r="I56" s="88" t="str">
        <f aca="false">IF(Accounts!I8="stale","stale","")</f>
        <v/>
      </c>
      <c r="J56" s="70"/>
      <c r="K56" s="70"/>
      <c r="L56" s="71"/>
      <c r="M56" s="48"/>
    </row>
    <row r="57" customFormat="false" ht="10.5" hidden="false" customHeight="true" outlineLevel="0" collapsed="false">
      <c r="A57" s="48"/>
      <c r="B57" s="65" t="s">
        <v>102</v>
      </c>
      <c r="C57" s="66" t="n">
        <f aca="false">C54+C55+C56</f>
        <v>0</v>
      </c>
      <c r="D57" s="68"/>
      <c r="E57" s="78"/>
      <c r="F57" s="48"/>
      <c r="G57" s="58" t="str">
        <f aca="false">Accounts!A9</f>
        <v>Joint checking</v>
      </c>
      <c r="H57" s="59" t="n">
        <f aca="false">Accounts!F9</f>
        <v>0</v>
      </c>
      <c r="I57" s="88" t="str">
        <f aca="false">IF(Accounts!I9="stale","stale","")</f>
        <v/>
      </c>
      <c r="J57" s="70"/>
      <c r="K57" s="70"/>
      <c r="L57" s="71"/>
      <c r="M57" s="48"/>
    </row>
    <row r="58" customFormat="false" ht="10.5" hidden="false" customHeight="true" outlineLevel="0" collapsed="false">
      <c r="A58" s="48"/>
      <c r="B58" s="58" t="s">
        <v>103</v>
      </c>
      <c r="C58" s="59" t="n">
        <f aca="false">SUMPRODUCT((Forecast!$C$4:$V$4&lt;=0)*Forecast!$C$51:$V$51)</f>
        <v>0</v>
      </c>
      <c r="D58" s="70"/>
      <c r="E58" s="71"/>
      <c r="F58" s="48"/>
      <c r="G58" s="58" t="str">
        <f aca="false">Accounts!A10</f>
        <v>High-yield savings / money market</v>
      </c>
      <c r="H58" s="59" t="n">
        <f aca="false">Accounts!F10</f>
        <v>0</v>
      </c>
      <c r="I58" s="88" t="str">
        <f aca="false">IF(Accounts!I10="stale","stale","")</f>
        <v/>
      </c>
      <c r="J58" s="70"/>
      <c r="K58" s="70"/>
      <c r="L58" s="71"/>
      <c r="M58" s="48"/>
    </row>
    <row r="59" customFormat="false" ht="10.5" hidden="false" customHeight="true" outlineLevel="0" collapsed="false">
      <c r="A59" s="48"/>
      <c r="B59" s="65" t="s">
        <v>104</v>
      </c>
      <c r="C59" s="66" t="n">
        <f aca="false">(Inputs!$B$22+Inputs!$B$27+Inputs!$B$32*Inputs!$B$29*12/52)</f>
        <v>0</v>
      </c>
      <c r="D59" s="68"/>
      <c r="E59" s="78"/>
      <c r="F59" s="48"/>
      <c r="G59" s="58" t="str">
        <f aca="false">Accounts!A11</f>
        <v>Cash / wallet</v>
      </c>
      <c r="H59" s="59" t="n">
        <f aca="false">Accounts!F11</f>
        <v>0</v>
      </c>
      <c r="I59" s="88" t="str">
        <f aca="false">IF(Accounts!I11="stale","stale","")</f>
        <v/>
      </c>
      <c r="J59" s="70"/>
      <c r="K59" s="70"/>
      <c r="L59" s="71"/>
      <c r="M59" s="48"/>
    </row>
    <row r="60" customFormat="false" ht="10.5" hidden="false" customHeight="true" outlineLevel="0" collapsed="false">
      <c r="A60" s="48"/>
      <c r="B60" s="89" t="s">
        <v>105</v>
      </c>
      <c r="C60" s="76"/>
      <c r="D60" s="76"/>
      <c r="E60" s="77"/>
      <c r="F60" s="48"/>
      <c r="G60" s="58" t="str">
        <f aca="false">Accounts!A12</f>
        <v>HSA / FSA</v>
      </c>
      <c r="H60" s="59" t="n">
        <f aca="false">Accounts!F12</f>
        <v>0</v>
      </c>
      <c r="I60" s="88" t="str">
        <f aca="false">IF(Accounts!I12="stale","stale","")</f>
        <v/>
      </c>
      <c r="J60" s="70"/>
      <c r="K60" s="70"/>
      <c r="L60" s="71"/>
      <c r="M60" s="48"/>
    </row>
    <row r="61" customFormat="false" ht="10.5" hidden="false" customHeight="true" outlineLevel="0" collapsed="false">
      <c r="A61" s="48"/>
      <c r="B61" s="48"/>
      <c r="C61" s="48"/>
      <c r="D61" s="48"/>
      <c r="E61" s="48"/>
      <c r="F61" s="48"/>
      <c r="G61" s="58" t="str">
        <f aca="false">Accounts!A13</f>
        <v>Brokerage — cash portion</v>
      </c>
      <c r="H61" s="59" t="n">
        <f aca="false">Accounts!F13</f>
        <v>0</v>
      </c>
      <c r="I61" s="88" t="str">
        <f aca="false">IF(Accounts!I13="stale","stale","")</f>
        <v/>
      </c>
      <c r="J61" s="70"/>
      <c r="K61" s="70"/>
      <c r="L61" s="71"/>
      <c r="M61" s="48"/>
    </row>
    <row r="62" customFormat="false" ht="10.5" hidden="false" customHeight="true" outlineLevel="0" collapsed="false">
      <c r="A62" s="48"/>
      <c r="B62" s="48"/>
      <c r="C62" s="48"/>
      <c r="D62" s="48"/>
      <c r="E62" s="48"/>
      <c r="F62" s="48"/>
      <c r="G62" s="58" t="str">
        <f aca="false">Accounts!A14</f>
        <v>Other account</v>
      </c>
      <c r="H62" s="59" t="n">
        <f aca="false">Accounts!F14</f>
        <v>0</v>
      </c>
      <c r="I62" s="88" t="str">
        <f aca="false">IF(Accounts!I14="stale","stale","")</f>
        <v/>
      </c>
      <c r="J62" s="70"/>
      <c r="K62" s="70"/>
      <c r="L62" s="71"/>
      <c r="M62" s="48"/>
    </row>
    <row r="63" customFormat="false" ht="10.5" hidden="false" customHeight="true" outlineLevel="0" collapsed="false">
      <c r="A63" s="48"/>
      <c r="B63" s="48"/>
      <c r="C63" s="48"/>
      <c r="D63" s="48"/>
      <c r="E63" s="48"/>
      <c r="F63" s="48"/>
      <c r="G63" s="58" t="str">
        <f aca="false">Accounts!A15</f>
        <v>Safety-net savings (cushion)</v>
      </c>
      <c r="H63" s="59" t="n">
        <f aca="false">Accounts!F15</f>
        <v>0</v>
      </c>
      <c r="I63" s="88" t="str">
        <f aca="false">IF(Accounts!I15="stale","stale","")</f>
        <v/>
      </c>
      <c r="J63" s="70"/>
      <c r="K63" s="70"/>
      <c r="L63" s="71"/>
      <c r="M63" s="48"/>
    </row>
    <row r="64" customFormat="false" ht="10.5" hidden="false" customHeight="true" outlineLevel="0" collapsed="false">
      <c r="A64" s="48"/>
      <c r="B64" s="48"/>
      <c r="C64" s="48"/>
      <c r="D64" s="48"/>
      <c r="E64" s="48"/>
      <c r="F64" s="48"/>
      <c r="G64" s="65" t="s">
        <v>106</v>
      </c>
      <c r="H64" s="66" t="n">
        <f aca="false">Accounts!$C$18</f>
        <v>0</v>
      </c>
      <c r="I64" s="68"/>
      <c r="J64" s="68"/>
      <c r="K64" s="68"/>
      <c r="L64" s="78"/>
      <c r="M64" s="48"/>
    </row>
    <row r="65" customFormat="false" ht="10.5" hidden="false" customHeight="true" outlineLevel="0" collapsed="false">
      <c r="A65" s="48"/>
      <c r="B65" s="48"/>
      <c r="C65" s="48"/>
      <c r="D65" s="48"/>
      <c r="E65" s="48"/>
      <c r="F65" s="48"/>
      <c r="G65" s="58" t="s">
        <v>107</v>
      </c>
      <c r="H65" s="59" t="n">
        <f aca="false">Accounts!$D$24</f>
        <v>0</v>
      </c>
      <c r="I65" s="70"/>
      <c r="J65" s="70"/>
      <c r="K65" s="70"/>
      <c r="L65" s="71"/>
      <c r="M65" s="48"/>
    </row>
    <row r="66" customFormat="false" ht="10.5" hidden="false" customHeight="true" outlineLevel="0" collapsed="false">
      <c r="A66" s="48"/>
      <c r="B66" s="48"/>
      <c r="C66" s="48"/>
      <c r="D66" s="48"/>
      <c r="E66" s="48"/>
      <c r="F66" s="48"/>
      <c r="G66" s="74" t="s">
        <v>108</v>
      </c>
      <c r="H66" s="79" t="n">
        <f aca="false">Accounts!$D$33</f>
        <v>0</v>
      </c>
      <c r="I66" s="76"/>
      <c r="J66" s="76"/>
      <c r="K66" s="76"/>
      <c r="L66" s="77"/>
      <c r="M66" s="48"/>
    </row>
    <row r="67" customFormat="false" ht="10.5" hidden="false" customHeight="true" outlineLevel="0" collapsed="false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customFormat="false" ht="18.75" hidden="false" customHeight="true" outlineLevel="0" collapsed="false">
      <c r="A68" s="48"/>
      <c r="B68" s="56" t="s">
        <v>109</v>
      </c>
      <c r="C68" s="3"/>
      <c r="D68" s="3"/>
      <c r="E68" s="3"/>
      <c r="F68" s="48"/>
      <c r="G68" s="56" t="s">
        <v>110</v>
      </c>
      <c r="H68" s="3"/>
      <c r="I68" s="3"/>
      <c r="J68" s="3"/>
      <c r="K68" s="3"/>
      <c r="L68" s="3"/>
      <c r="M68" s="48"/>
    </row>
    <row r="69" customFormat="false" ht="19.5" hidden="false" customHeight="true" outlineLevel="0" collapsed="false">
      <c r="A69" s="48"/>
      <c r="B69" s="57"/>
      <c r="C69" s="57" t="s">
        <v>111</v>
      </c>
      <c r="D69" s="57" t="s">
        <v>112</v>
      </c>
      <c r="E69" s="57" t="s">
        <v>113</v>
      </c>
      <c r="F69" s="48"/>
      <c r="G69" s="82" t="s">
        <v>114</v>
      </c>
      <c r="H69" s="86" t="n">
        <f aca="false">Inputs!$B$8</f>
        <v>0</v>
      </c>
      <c r="I69" s="84"/>
      <c r="J69" s="84"/>
      <c r="K69" s="84"/>
      <c r="L69" s="85"/>
      <c r="M69" s="48"/>
    </row>
    <row r="70" customFormat="false" ht="10.5" hidden="false" customHeight="true" outlineLevel="0" collapsed="false">
      <c r="A70" s="48"/>
      <c r="B70" s="58" t="s">
        <v>115</v>
      </c>
      <c r="C70" s="90" t="n">
        <f aca="false">IFERROR(INDEX(Forecast!$C$32:$V$32,MATCH(DATE(YEAR(Inputs!$B$6),MONTH(Inputs!$B$6),1),Forecast!$C$3:$V$3,0)),INDEX(Forecast!$C$32:$V$32,20))</f>
        <v>0</v>
      </c>
      <c r="D70" s="90" t="n">
        <f aca="false">IFERROR(INDEX(Forecast!$C$53:$V$53,MATCH(DATE(YEAR(Inputs!$B$6),MONTH(Inputs!$B$6),1),Forecast!$C$3:$V$3,0)),INDEX(Forecast!$C$53:$V$53,20))</f>
        <v>0</v>
      </c>
      <c r="E70" s="91" t="n">
        <f aca="false">IFERROR(INDEX(Forecast!$C$74:$V$74,MATCH(DATE(YEAR(Inputs!$B$6),MONTH(Inputs!$B$6),1),Forecast!$C$3:$V$3,0)),INDEX(Forecast!$C$74:$V$74,20))</f>
        <v>0</v>
      </c>
      <c r="F70" s="48"/>
      <c r="G70" s="58" t="s">
        <v>116</v>
      </c>
      <c r="H70" s="59" t="n">
        <f aca="false">Accounts!$F$15</f>
        <v>0</v>
      </c>
      <c r="I70" s="70"/>
      <c r="J70" s="70"/>
      <c r="K70" s="70"/>
      <c r="L70" s="71"/>
      <c r="M70" s="48"/>
    </row>
    <row r="71" customFormat="false" ht="10.5" hidden="false" customHeight="true" outlineLevel="0" collapsed="false">
      <c r="A71" s="48"/>
      <c r="B71" s="58" t="s">
        <v>117</v>
      </c>
      <c r="C71" s="90" t="n">
        <f aca="false">MIN(Forecast!$C$32:$V$32)</f>
        <v>0</v>
      </c>
      <c r="D71" s="90" t="n">
        <f aca="false">MIN(Forecast!$C$53:$V$53)</f>
        <v>0</v>
      </c>
      <c r="E71" s="91" t="n">
        <f aca="false">MIN(Forecast!$C$74:$V$74)</f>
        <v>0</v>
      </c>
      <c r="F71" s="48"/>
      <c r="G71" s="58" t="s">
        <v>118</v>
      </c>
      <c r="H71" s="59" t="n">
        <f aca="false">Inputs!$B$76</f>
        <v>0</v>
      </c>
      <c r="I71" s="70"/>
      <c r="J71" s="70"/>
      <c r="K71" s="70"/>
      <c r="L71" s="71"/>
      <c r="M71" s="48"/>
    </row>
    <row r="72" customFormat="false" ht="10.5" hidden="false" customHeight="true" outlineLevel="0" collapsed="false">
      <c r="A72" s="48"/>
      <c r="B72" s="58" t="s">
        <v>119</v>
      </c>
      <c r="C72" s="92" t="n">
        <f aca="false">INDEX(Forecast!$C$3:$V$3,MATCH(MIN(Forecast!$C$32:$V$32),Forecast!$C$32:$V$32,0))</f>
        <v>46296</v>
      </c>
      <c r="D72" s="92" t="n">
        <f aca="false">INDEX(Forecast!$C$3:$V$3,MATCH(MIN(Forecast!$C$53:$V$53),Forecast!$C$53:$V$53,0))</f>
        <v>46296</v>
      </c>
      <c r="E72" s="93" t="n">
        <f aca="false">INDEX(Forecast!$C$3:$V$3,MATCH(MIN(Forecast!$C$74:$V$74),Forecast!$C$74:$V$74,0))</f>
        <v>46296</v>
      </c>
      <c r="F72" s="48"/>
      <c r="G72" s="58" t="s">
        <v>120</v>
      </c>
      <c r="H72" s="59" t="n">
        <f aca="false">MAX(0,'Debts &amp; Credit'!$F$28-Inputs!$B$76)</f>
        <v>0</v>
      </c>
      <c r="I72" s="70"/>
      <c r="J72" s="70"/>
      <c r="K72" s="70"/>
      <c r="L72" s="71"/>
      <c r="M72" s="48"/>
    </row>
    <row r="73" customFormat="false" ht="10.5" hidden="false" customHeight="true" outlineLevel="0" collapsed="false">
      <c r="A73" s="48"/>
      <c r="B73" s="74" t="s">
        <v>121</v>
      </c>
      <c r="C73" s="94" t="n">
        <f aca="false">INDEX(Forecast!$C$32:$V$32,20)</f>
        <v>0</v>
      </c>
      <c r="D73" s="94" t="n">
        <f aca="false">INDEX(Forecast!$C$53:$V$53,20)</f>
        <v>0</v>
      </c>
      <c r="E73" s="95" t="n">
        <f aca="false">INDEX(Forecast!$C$74:$V$74,20)</f>
        <v>0</v>
      </c>
      <c r="F73" s="48"/>
      <c r="G73" s="58" t="s">
        <v>122</v>
      </c>
      <c r="H73" s="59" t="n">
        <f aca="false">Accounts!$D$24</f>
        <v>0</v>
      </c>
      <c r="I73" s="70"/>
      <c r="J73" s="70"/>
      <c r="K73" s="70"/>
      <c r="L73" s="71"/>
      <c r="M73" s="48"/>
    </row>
    <row r="74" customFormat="false" ht="10.5" hidden="false" customHeight="true" outlineLevel="0" collapsed="false">
      <c r="A74" s="48"/>
      <c r="B74" s="48"/>
      <c r="C74" s="48"/>
      <c r="D74" s="48"/>
      <c r="E74" s="48"/>
      <c r="F74" s="48"/>
      <c r="G74" s="58" t="s">
        <v>123</v>
      </c>
      <c r="H74" s="59" t="n">
        <f aca="false">(Inputs!$B$22+Inputs!$B$27+Inputs!$B$32*Inputs!$B$29*12/52)</f>
        <v>0</v>
      </c>
      <c r="I74" s="70"/>
      <c r="J74" s="70"/>
      <c r="K74" s="70"/>
      <c r="L74" s="71"/>
      <c r="M74" s="48"/>
    </row>
    <row r="75" customFormat="false" ht="10.5" hidden="false" customHeight="true" outlineLevel="0" collapsed="false">
      <c r="A75" s="48"/>
      <c r="B75" s="48"/>
      <c r="C75" s="48"/>
      <c r="D75" s="48"/>
      <c r="E75" s="48"/>
      <c r="F75" s="48"/>
      <c r="G75" s="96" t="s">
        <v>124</v>
      </c>
      <c r="H75" s="70"/>
      <c r="I75" s="70"/>
      <c r="J75" s="70"/>
      <c r="K75" s="70"/>
      <c r="L75" s="71"/>
      <c r="M75" s="48"/>
    </row>
    <row r="76" customFormat="false" ht="10.5" hidden="false" customHeight="true" outlineLevel="0" collapsed="false">
      <c r="A76" s="48"/>
      <c r="B76" s="48"/>
      <c r="C76" s="48"/>
      <c r="D76" s="48"/>
      <c r="E76" s="48"/>
      <c r="F76" s="48"/>
      <c r="G76" s="97" t="s">
        <v>125</v>
      </c>
      <c r="H76" s="76"/>
      <c r="I76" s="76"/>
      <c r="J76" s="76"/>
      <c r="K76" s="76"/>
      <c r="L76" s="77"/>
      <c r="M76" s="48"/>
    </row>
    <row r="77" customFormat="false" ht="10.5" hidden="false" customHeight="true" outlineLevel="0" collapsed="false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customFormat="false" ht="10.5" hidden="false" customHeight="true" outlineLevel="0" collapsed="false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customFormat="false" ht="15" hidden="false" customHeight="false" outlineLevel="0" collapsed="false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customFormat="false" ht="15" hidden="false" customHeight="false" outlineLevel="0" collapsed="false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customFormat="false" ht="15" hidden="false" customHeight="false" outlineLevel="0" collapsed="false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customFormat="false" ht="15" hidden="false" customHeight="false" outlineLevel="0" collapsed="false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customFormat="false" ht="15" hidden="false" customHeight="false" outlineLevel="0" collapsed="false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customFormat="false" ht="15" hidden="false" customHeight="false" outlineLevel="0" collapsed="false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customFormat="false" ht="15" hidden="false" customHeight="false" outlineLevel="0" collapsed="false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customFormat="false" ht="15" hidden="false" customHeight="false" outlineLevel="0" collapsed="false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customFormat="false" ht="15" hidden="false" customHeight="false" outlineLevel="0" collapsed="false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customFormat="false" ht="15" hidden="false" customHeight="false" outlineLevel="0" collapsed="false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customFormat="false" ht="15" hidden="false" customHeight="false" outlineLevel="0" collapsed="false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customFormat="false" ht="15" hidden="false" customHeight="false" outlineLevel="0" collapsed="false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customFormat="false" ht="15" hidden="false" customHeight="false" outlineLevel="0" collapsed="false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</sheetData>
  <mergeCells count="26">
    <mergeCell ref="B4:C4"/>
    <mergeCell ref="D4:E4"/>
    <mergeCell ref="G4:H4"/>
    <mergeCell ref="I4:L4"/>
    <mergeCell ref="B5:C5"/>
    <mergeCell ref="D5:E5"/>
    <mergeCell ref="G5:H5"/>
    <mergeCell ref="I5:L5"/>
    <mergeCell ref="B6:C6"/>
    <mergeCell ref="D6:E6"/>
    <mergeCell ref="G6:H6"/>
    <mergeCell ref="I6:L6"/>
    <mergeCell ref="B8:C8"/>
    <mergeCell ref="D8:E8"/>
    <mergeCell ref="G8:H8"/>
    <mergeCell ref="I8:L8"/>
    <mergeCell ref="B9:C9"/>
    <mergeCell ref="D9:E9"/>
    <mergeCell ref="G9:H9"/>
    <mergeCell ref="I9:L9"/>
    <mergeCell ref="B10:C10"/>
    <mergeCell ref="D10:E10"/>
    <mergeCell ref="G10:H10"/>
    <mergeCell ref="I10:L10"/>
    <mergeCell ref="I40:L40"/>
    <mergeCell ref="D48:E48"/>
  </mergeCells>
  <conditionalFormatting sqref="B9">
    <cfRule type="cellIs" priority="2" operator="lessThan" aboveAverage="0" equalAverage="0" bottom="0" percent="0" rank="0" text="" dxfId="2">
      <formula>0</formula>
    </cfRule>
  </conditionalFormatting>
  <conditionalFormatting sqref="D9">
    <cfRule type="cellIs" priority="3" operator="lessThan" aboveAverage="0" equalAverage="0" bottom="0" percent="0" rank="0" text="" dxfId="2">
      <formula>2000</formula>
    </cfRule>
  </conditionalFormatting>
  <conditionalFormatting sqref="D48">
    <cfRule type="cellIs" priority="4" operator="equal" aboveAverage="0" equalAverage="0" bottom="0" percent="0" rank="0" text="" dxfId="3">
      <formula>"on pace"</formula>
    </cfRule>
    <cfRule type="cellIs" priority="5" operator="equal" aboveAverage="0" equalAverage="0" bottom="0" percent="0" rank="0" text="" dxfId="4">
      <formula>"ahead"</formula>
    </cfRule>
  </conditionalFormatting>
  <conditionalFormatting sqref="B14:E43">
    <cfRule type="expression" priority="6" aboveAverage="0" equalAverage="0" bottom="0" percent="0" rank="0" text="" dxfId="5">
      <formula>MOD(ROW(),2)=0</formula>
    </cfRule>
  </conditionalFormatting>
  <conditionalFormatting sqref="J14:J36">
    <cfRule type="dataBar" priority="7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{3BD67070-C211-4380-829C-66CCF910B0E2}</x14:id>
        </ext>
      </extLst>
    </cfRule>
  </conditionalFormatting>
  <conditionalFormatting sqref="K14:K36">
    <cfRule type="cellIs" priority="8" operator="greaterThanOrEqual" aboveAverage="0" equalAverage="0" bottom="0" percent="0" rank="0" text="" dxfId="6">
      <formula>0.25</formula>
    </cfRule>
  </conditionalFormatting>
  <conditionalFormatting sqref="I40">
    <cfRule type="expression" priority="9" aboveAverage="0" equalAverage="0" bottom="0" percent="0" rank="0" text="" dxfId="0">
      <formula>I40&lt;&gt;""</formula>
    </cfRule>
  </conditionalFormatting>
  <conditionalFormatting sqref="G14:L36">
    <cfRule type="expression" priority="10" aboveAverage="0" equalAverage="0" bottom="0" percent="0" rank="0" text="" dxfId="5">
      <formula>MOD(ROW(),2)=0</formula>
    </cfRule>
  </conditionalFormatting>
  <conditionalFormatting sqref="I53:I63">
    <cfRule type="cellIs" priority="11" operator="equal" aboveAverage="0" equalAverage="0" bottom="0" percent="0" rank="0" text="" dxfId="4">
      <formula>"stale"</formula>
    </cfRule>
  </conditionalFormatting>
  <conditionalFormatting sqref="H53:H63">
    <cfRule type="dataBar" priority="12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{8E5EE072-4773-427D-8725-F72BFC1DFB68}</x14:id>
        </ext>
      </extLst>
    </cfRule>
  </conditionalFormatting>
  <conditionalFormatting sqref="G53:L63">
    <cfRule type="expression" priority="13" aboveAverage="0" equalAverage="0" bottom="0" percent="0" rank="0" text="" dxfId="5">
      <formula>MOD(ROW(),2)=0</formula>
    </cfRule>
  </conditionalFormatting>
  <conditionalFormatting sqref="C70:E73">
    <cfRule type="cellIs" priority="14" operator="lessThan" aboveAverage="0" equalAverage="0" bottom="0" percent="0" rank="0" text="" dxfId="6">
      <formula>0</formula>
    </cfRule>
  </conditionalFormatting>
  <conditionalFormatting sqref="B70:E73">
    <cfRule type="expression" priority="15" aboveAverage="0" equalAverage="0" bottom="0" percent="0" rank="0" text="" dxfId="5">
      <formula>MOD(ROW(),2)=0</formula>
    </cfRule>
  </conditionalFormatting>
  <conditionalFormatting sqref="H69:H73">
    <cfRule type="dataBar" priority="16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{253E2B59-5A16-4B19-9891-2F834290A077}</x14:id>
        </ext>
      </extLst>
    </cfRule>
  </conditionalFormatting>
  <conditionalFormatting sqref="G69:L73">
    <cfRule type="expression" priority="17" aboveAverage="0" equalAverage="0" bottom="0" percent="0" rank="0" text="" dxfId="5">
      <formula>MOD(ROW(),2)=0</formula>
    </cfRule>
  </conditionalFormatting>
  <hyperlinks>
    <hyperlink ref="L1" r:id="rId1" location="'Home'!A1" display="⌂ Home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Dashboard&amp;R&amp;8 Page &amp;P of &amp;N · printed &amp;D</oddFooter>
  </headerFooter>
  <rowBreaks count="1" manualBreakCount="1">
    <brk id="49" man="true" max="16383" min="0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D67070-C211-4380-829C-66CCF910B0E2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J14:J36</xm:sqref>
        </x14:conditionalFormatting>
        <x14:conditionalFormatting xmlns:xm="http://schemas.microsoft.com/office/excel/2006/main">
          <x14:cfRule type="dataBar" id="{8E5EE072-4773-427D-8725-F72BFC1DFB68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H53:H63</xm:sqref>
        </x14:conditionalFormatting>
        <x14:conditionalFormatting xmlns:xm="http://schemas.microsoft.com/office/excel/2006/main">
          <x14:cfRule type="dataBar" id="{253E2B59-5A16-4B19-9891-2F834290A077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H69:H73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76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126</v>
      </c>
    </row>
    <row r="3" customFormat="false" ht="15" hidden="false" customHeight="false" outlineLevel="0" collapsed="false">
      <c r="A3" s="21" t="s">
        <v>127</v>
      </c>
    </row>
    <row r="4" customFormat="false" ht="18.75" hidden="false" customHeight="true" outlineLevel="0" collapsed="false">
      <c r="A4" s="56" t="s">
        <v>128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99" t="s">
        <v>129</v>
      </c>
      <c r="B5" s="100"/>
      <c r="F5" s="21" t="s">
        <v>130</v>
      </c>
    </row>
    <row r="6" customFormat="false" ht="15" hidden="false" customHeight="false" outlineLevel="0" collapsed="false">
      <c r="A6" s="99" t="s">
        <v>131</v>
      </c>
      <c r="B6" s="100"/>
      <c r="F6" s="21" t="s">
        <v>132</v>
      </c>
    </row>
    <row r="7" customFormat="false" ht="15" hidden="false" customHeight="false" outlineLevel="0" collapsed="false">
      <c r="A7" s="99" t="s">
        <v>133</v>
      </c>
      <c r="B7" s="100" t="s">
        <v>134</v>
      </c>
      <c r="F7" s="21" t="s">
        <v>135</v>
      </c>
    </row>
    <row r="8" customFormat="false" ht="15" hidden="false" customHeight="false" outlineLevel="0" collapsed="false">
      <c r="A8" s="99" t="s">
        <v>136</v>
      </c>
      <c r="B8" s="100" t="s">
        <v>137</v>
      </c>
      <c r="F8" s="21" t="s">
        <v>138</v>
      </c>
    </row>
    <row r="9" customFormat="false" ht="15" hidden="false" customHeight="false" outlineLevel="0" collapsed="false">
      <c r="A9" s="99" t="s">
        <v>139</v>
      </c>
      <c r="B9" s="100" t="s">
        <v>140</v>
      </c>
      <c r="F9" s="21" t="s">
        <v>141</v>
      </c>
    </row>
    <row r="10" customFormat="false" ht="15" hidden="false" customHeight="false" outlineLevel="0" collapsed="false">
      <c r="A10" s="99" t="s">
        <v>142</v>
      </c>
      <c r="B10" s="101"/>
      <c r="F10" s="21" t="s">
        <v>143</v>
      </c>
    </row>
    <row r="11" customFormat="false" ht="15" hidden="false" customHeight="false" outlineLevel="0" collapsed="false">
      <c r="A11" s="99" t="s">
        <v>144</v>
      </c>
      <c r="B11" s="102" t="n">
        <f aca="false">IFERROR(INDEX({52,26,24,12},MATCH(B9,{"Weekly","Bi-weekly","Semi-monthly","Monthly"},0)),26)</f>
        <v>26</v>
      </c>
    </row>
    <row r="12" customFormat="false" ht="15" hidden="false" customHeight="false" outlineLevel="0" collapsed="false">
      <c r="A12" s="99" t="s">
        <v>145</v>
      </c>
      <c r="B12" s="103"/>
      <c r="F12" s="21" t="s">
        <v>146</v>
      </c>
    </row>
    <row r="13" customFormat="false" ht="15" hidden="false" customHeight="false" outlineLevel="0" collapsed="false">
      <c r="A13" s="99" t="s">
        <v>147</v>
      </c>
      <c r="B13" s="104"/>
      <c r="F13" s="21" t="s">
        <v>148</v>
      </c>
    </row>
    <row r="15" customFormat="false" ht="18.75" hidden="false" customHeight="true" outlineLevel="0" collapsed="false">
      <c r="A15" s="56" t="s">
        <v>149</v>
      </c>
      <c r="B15" s="3"/>
      <c r="C15" s="3"/>
      <c r="D15" s="3"/>
      <c r="E15" s="3"/>
      <c r="F15" s="3"/>
    </row>
    <row r="16" customFormat="false" ht="15" hidden="false" customHeight="false" outlineLevel="0" collapsed="false">
      <c r="A16" s="99" t="s">
        <v>150</v>
      </c>
      <c r="B16" s="105" t="n">
        <v>46296</v>
      </c>
      <c r="F16" s="21" t="s">
        <v>151</v>
      </c>
    </row>
    <row r="17" customFormat="false" ht="15" hidden="false" customHeight="false" outlineLevel="0" collapsed="false">
      <c r="A17" s="99" t="s">
        <v>152</v>
      </c>
      <c r="B17" s="103"/>
      <c r="F17" s="21" t="s">
        <v>153</v>
      </c>
    </row>
    <row r="18" customFormat="false" ht="15" hidden="false" customHeight="false" outlineLevel="0" collapsed="false">
      <c r="A18" s="99" t="s">
        <v>154</v>
      </c>
      <c r="B18" s="106" t="n">
        <v>6</v>
      </c>
      <c r="F18" s="21" t="s">
        <v>155</v>
      </c>
    </row>
    <row r="19" customFormat="false" ht="15" hidden="false" customHeight="false" outlineLevel="0" collapsed="false">
      <c r="A19" s="99" t="s">
        <v>156</v>
      </c>
      <c r="B19" s="104"/>
      <c r="F19" s="21" t="s">
        <v>157</v>
      </c>
    </row>
    <row r="21" customFormat="false" ht="18.75" hidden="false" customHeight="true" outlineLevel="0" collapsed="false">
      <c r="A21" s="56" t="s">
        <v>158</v>
      </c>
      <c r="B21" s="3"/>
      <c r="C21" s="3"/>
      <c r="D21" s="3"/>
      <c r="E21" s="3"/>
      <c r="F21" s="3"/>
    </row>
    <row r="22" customFormat="false" ht="19.5" hidden="false" customHeight="true" outlineLevel="0" collapsed="false">
      <c r="A22" s="107" t="s">
        <v>159</v>
      </c>
      <c r="B22" s="107" t="s">
        <v>160</v>
      </c>
      <c r="C22" s="107" t="s">
        <v>161</v>
      </c>
      <c r="D22" s="107" t="s">
        <v>162</v>
      </c>
      <c r="E22" s="107"/>
      <c r="F22" s="107" t="s">
        <v>163</v>
      </c>
    </row>
    <row r="23" customFormat="false" ht="15" hidden="false" customHeight="false" outlineLevel="0" collapsed="false">
      <c r="A23" s="108" t="s">
        <v>137</v>
      </c>
      <c r="B23" s="108" t="s">
        <v>164</v>
      </c>
      <c r="C23" s="109" t="n">
        <v>1</v>
      </c>
      <c r="D23" s="110"/>
      <c r="F23" s="21" t="s">
        <v>165</v>
      </c>
    </row>
    <row r="24" customFormat="false" ht="15" hidden="false" customHeight="false" outlineLevel="0" collapsed="false">
      <c r="A24" s="108" t="s">
        <v>166</v>
      </c>
      <c r="B24" s="108" t="s">
        <v>167</v>
      </c>
      <c r="C24" s="109" t="n">
        <v>1.37</v>
      </c>
      <c r="D24" s="110"/>
    </row>
    <row r="25" customFormat="false" ht="15" hidden="false" customHeight="false" outlineLevel="0" collapsed="false">
      <c r="A25" s="108" t="s">
        <v>168</v>
      </c>
      <c r="B25" s="108" t="s">
        <v>169</v>
      </c>
      <c r="C25" s="109" t="n">
        <v>0.76</v>
      </c>
      <c r="D25" s="110"/>
    </row>
    <row r="26" customFormat="false" ht="15" hidden="false" customHeight="false" outlineLevel="0" collapsed="false">
      <c r="A26" s="108" t="s">
        <v>170</v>
      </c>
      <c r="B26" s="108" t="s">
        <v>171</v>
      </c>
      <c r="C26" s="109" t="n">
        <v>0.88</v>
      </c>
      <c r="D26" s="110"/>
    </row>
    <row r="27" customFormat="false" ht="15" hidden="false" customHeight="false" outlineLevel="0" collapsed="false">
      <c r="A27" s="108" t="s">
        <v>172</v>
      </c>
      <c r="B27" s="108" t="s">
        <v>173</v>
      </c>
      <c r="C27" s="109" t="n">
        <v>18.5</v>
      </c>
      <c r="D27" s="110"/>
    </row>
    <row r="28" customFormat="false" ht="15" hidden="false" customHeight="false" outlineLevel="0" collapsed="false">
      <c r="A28" s="108" t="s">
        <v>174</v>
      </c>
      <c r="B28" s="108" t="s">
        <v>175</v>
      </c>
      <c r="C28" s="109" t="n">
        <v>32</v>
      </c>
      <c r="D28" s="110"/>
    </row>
    <row r="29" customFormat="false" ht="15" hidden="false" customHeight="false" outlineLevel="0" collapsed="false">
      <c r="A29" s="108" t="s">
        <v>176</v>
      </c>
      <c r="B29" s="108" t="s">
        <v>177</v>
      </c>
      <c r="C29" s="109" t="n">
        <v>57</v>
      </c>
      <c r="D29" s="110"/>
    </row>
    <row r="30" customFormat="false" ht="15" hidden="false" customHeight="false" outlineLevel="0" collapsed="false">
      <c r="A30" s="108" t="s">
        <v>178</v>
      </c>
      <c r="B30" s="108" t="s">
        <v>179</v>
      </c>
      <c r="C30" s="109" t="n">
        <v>88</v>
      </c>
      <c r="D30" s="110"/>
    </row>
    <row r="31" customFormat="false" ht="15" hidden="false" customHeight="false" outlineLevel="0" collapsed="false">
      <c r="A31" s="108" t="s">
        <v>180</v>
      </c>
      <c r="B31" s="108" t="s">
        <v>181</v>
      </c>
      <c r="C31" s="109" t="n">
        <v>5.3</v>
      </c>
      <c r="D31" s="110"/>
    </row>
    <row r="32" customFormat="false" ht="15" hidden="false" customHeight="false" outlineLevel="0" collapsed="false">
      <c r="A32" s="108" t="s">
        <v>182</v>
      </c>
      <c r="B32" s="108" t="s">
        <v>183</v>
      </c>
      <c r="C32" s="109" t="n">
        <v>3900</v>
      </c>
      <c r="D32" s="110"/>
    </row>
    <row r="33" customFormat="false" ht="15" hidden="false" customHeight="false" outlineLevel="0" collapsed="false">
      <c r="A33" s="108" t="s">
        <v>184</v>
      </c>
      <c r="B33" s="108" t="s">
        <v>185</v>
      </c>
      <c r="C33" s="109" t="n">
        <v>1400</v>
      </c>
      <c r="D33" s="110"/>
    </row>
    <row r="34" customFormat="false" ht="15" hidden="false" customHeight="false" outlineLevel="0" collapsed="false">
      <c r="A34" s="108" t="s">
        <v>186</v>
      </c>
      <c r="B34" s="108" t="s">
        <v>187</v>
      </c>
      <c r="C34" s="109" t="n">
        <v>950</v>
      </c>
      <c r="D34" s="110"/>
    </row>
    <row r="35" customFormat="false" ht="15" hidden="false" customHeight="false" outlineLevel="0" collapsed="false">
      <c r="A35" s="108" t="s">
        <v>188</v>
      </c>
      <c r="B35" s="108" t="s">
        <v>189</v>
      </c>
      <c r="C35" s="109" t="n">
        <v>3.5</v>
      </c>
      <c r="D35" s="110"/>
    </row>
    <row r="36" customFormat="false" ht="15" hidden="false" customHeight="false" outlineLevel="0" collapsed="false">
      <c r="A36" s="108" t="s">
        <v>190</v>
      </c>
      <c r="B36" s="108" t="s">
        <v>191</v>
      </c>
      <c r="C36" s="109" t="n">
        <v>150</v>
      </c>
      <c r="D36" s="110"/>
    </row>
    <row r="37" customFormat="false" ht="15" hidden="false" customHeight="false" outlineLevel="0" collapsed="false">
      <c r="A37" s="108" t="s">
        <v>192</v>
      </c>
      <c r="B37" s="108" t="s">
        <v>193</v>
      </c>
      <c r="C37" s="109" t="n">
        <v>7.1</v>
      </c>
      <c r="D37" s="110"/>
    </row>
    <row r="38" customFormat="false" ht="15" hidden="false" customHeight="false" outlineLevel="0" collapsed="false">
      <c r="A38" s="108" t="s">
        <v>194</v>
      </c>
      <c r="B38" s="108" t="s">
        <v>195</v>
      </c>
      <c r="C38" s="109" t="n">
        <v>26000</v>
      </c>
      <c r="D38" s="110"/>
    </row>
    <row r="39" customFormat="false" ht="15" hidden="false" customHeight="false" outlineLevel="0" collapsed="false">
      <c r="A39" s="108" t="s">
        <v>196</v>
      </c>
      <c r="B39" s="108" t="s">
        <v>197</v>
      </c>
      <c r="C39" s="109" t="n">
        <v>1.5</v>
      </c>
      <c r="D39" s="110"/>
    </row>
    <row r="40" customFormat="false" ht="15" hidden="false" customHeight="false" outlineLevel="0" collapsed="false">
      <c r="A40" s="108" t="s">
        <v>198</v>
      </c>
      <c r="B40" s="108" t="s">
        <v>199</v>
      </c>
      <c r="C40" s="109" t="n">
        <v>1500</v>
      </c>
      <c r="D40" s="110"/>
    </row>
    <row r="41" customFormat="false" ht="15" hidden="false" customHeight="false" outlineLevel="0" collapsed="false">
      <c r="A41" s="108"/>
      <c r="B41" s="108"/>
      <c r="C41" s="111"/>
      <c r="D41" s="108"/>
    </row>
    <row r="42" customFormat="false" ht="15" hidden="false" customHeight="false" outlineLevel="0" collapsed="false">
      <c r="A42" s="108"/>
      <c r="B42" s="108"/>
      <c r="C42" s="111"/>
      <c r="D42" s="108"/>
    </row>
    <row r="43" customFormat="false" ht="15" hidden="false" customHeight="false" outlineLevel="0" collapsed="false">
      <c r="A43" s="108"/>
      <c r="B43" s="108"/>
      <c r="C43" s="111"/>
      <c r="D43" s="108"/>
    </row>
    <row r="44" customFormat="false" ht="15" hidden="false" customHeight="false" outlineLevel="0" collapsed="false">
      <c r="A44" s="108"/>
      <c r="B44" s="108"/>
      <c r="C44" s="111"/>
      <c r="D44" s="108"/>
    </row>
    <row r="45" customFormat="false" ht="15" hidden="false" customHeight="false" outlineLevel="0" collapsed="false">
      <c r="A45" s="108"/>
      <c r="B45" s="108"/>
      <c r="C45" s="111"/>
      <c r="D45" s="108"/>
    </row>
    <row r="46" customFormat="false" ht="15" hidden="false" customHeight="false" outlineLevel="0" collapsed="false">
      <c r="A46" s="108"/>
      <c r="B46" s="108"/>
      <c r="C46" s="111"/>
      <c r="D46" s="108"/>
    </row>
    <row r="47" customFormat="false" ht="15" hidden="false" customHeight="false" outlineLevel="0" collapsed="false">
      <c r="A47" s="21" t="s">
        <v>200</v>
      </c>
    </row>
    <row r="49" customFormat="false" ht="18.75" hidden="false" customHeight="true" outlineLevel="0" collapsed="false">
      <c r="A49" s="56" t="s">
        <v>201</v>
      </c>
      <c r="B49" s="3"/>
      <c r="C49" s="3"/>
      <c r="D49" s="3"/>
      <c r="E49" s="3"/>
      <c r="F49" s="3"/>
    </row>
    <row r="50" customFormat="false" ht="15" hidden="false" customHeight="false" outlineLevel="0" collapsed="false">
      <c r="A50" s="99" t="s">
        <v>202</v>
      </c>
      <c r="B50" s="112"/>
      <c r="F50" s="21" t="s">
        <v>203</v>
      </c>
    </row>
    <row r="51" customFormat="false" ht="15" hidden="false" customHeight="false" outlineLevel="0" collapsed="false">
      <c r="A51" s="99" t="s">
        <v>204</v>
      </c>
      <c r="B51" s="106"/>
      <c r="F51" s="21" t="s">
        <v>205</v>
      </c>
    </row>
    <row r="52" customFormat="false" ht="15" hidden="false" customHeight="false" outlineLevel="0" collapsed="false">
      <c r="A52" s="99" t="s">
        <v>206</v>
      </c>
      <c r="B52" s="105"/>
      <c r="F52" s="21" t="s">
        <v>207</v>
      </c>
    </row>
    <row r="53" customFormat="false" ht="15" hidden="false" customHeight="false" outlineLevel="0" collapsed="false">
      <c r="A53" s="99" t="s">
        <v>208</v>
      </c>
      <c r="B53" s="113" t="n">
        <v>0.3</v>
      </c>
    </row>
    <row r="54" customFormat="false" ht="15" hidden="false" customHeight="false" outlineLevel="0" collapsed="false">
      <c r="A54" s="99" t="s">
        <v>209</v>
      </c>
      <c r="B54" s="112"/>
    </row>
    <row r="55" customFormat="false" ht="15" hidden="false" customHeight="false" outlineLevel="0" collapsed="false">
      <c r="A55" s="99" t="s">
        <v>210</v>
      </c>
      <c r="B55" s="105"/>
      <c r="F55" s="21" t="s">
        <v>207</v>
      </c>
    </row>
    <row r="56" customFormat="false" ht="15" hidden="false" customHeight="false" outlineLevel="0" collapsed="false">
      <c r="A56" s="99" t="s">
        <v>208</v>
      </c>
      <c r="B56" s="113" t="n">
        <v>0.34</v>
      </c>
      <c r="F56" s="21" t="s">
        <v>211</v>
      </c>
    </row>
    <row r="57" customFormat="false" ht="15" hidden="false" customHeight="false" outlineLevel="0" collapsed="false">
      <c r="A57" s="99" t="s">
        <v>212</v>
      </c>
      <c r="B57" s="104"/>
      <c r="F57" s="21" t="s">
        <v>213</v>
      </c>
    </row>
    <row r="58" customFormat="false" ht="15" hidden="false" customHeight="false" outlineLevel="0" collapsed="false">
      <c r="A58" s="99" t="s">
        <v>214</v>
      </c>
      <c r="B58" s="106"/>
    </row>
    <row r="59" customFormat="false" ht="15" hidden="false" customHeight="false" outlineLevel="0" collapsed="false">
      <c r="A59" s="99" t="s">
        <v>215</v>
      </c>
      <c r="B59" s="113" t="n">
        <v>0.1</v>
      </c>
    </row>
    <row r="60" customFormat="false" ht="15" hidden="false" customHeight="false" outlineLevel="0" collapsed="false">
      <c r="A60" s="99" t="s">
        <v>216</v>
      </c>
      <c r="B60" s="112"/>
      <c r="F60" s="21" t="s">
        <v>217</v>
      </c>
    </row>
    <row r="61" customFormat="false" ht="15" hidden="false" customHeight="false" outlineLevel="0" collapsed="false">
      <c r="A61" s="99" t="s">
        <v>218</v>
      </c>
      <c r="B61" s="112"/>
      <c r="F61" s="21" t="s">
        <v>219</v>
      </c>
    </row>
    <row r="62" customFormat="false" ht="15" hidden="false" customHeight="false" outlineLevel="0" collapsed="false">
      <c r="A62" s="99" t="s">
        <v>220</v>
      </c>
      <c r="B62" s="114" t="n">
        <f aca="false">Accounts!C18</f>
        <v>0</v>
      </c>
      <c r="F62" s="21" t="s">
        <v>221</v>
      </c>
    </row>
  </sheetData>
  <sheetProtection sheet="true" scenarios="true" formatCells="false" formatColumns="false" formatRows="false" sort="false" autoFilter="false"/>
  <dataValidations count="3">
    <dataValidation allowBlank="false" errorStyle="stop" operator="between" showDropDown="false" showErrorMessage="false" showInputMessage="false" sqref="B7" type="list">
      <formula1>"Yes,No"</formula1>
      <formula2>0</formula2>
    </dataValidation>
    <dataValidation allowBlank="true" errorStyle="stop" operator="between" showDropDown="false" showErrorMessage="false" showInputMessage="false" sqref="B8" type="list">
      <formula1>Setup!$A$23:$A$46</formula1>
      <formula2>0</formula2>
    </dataValidation>
    <dataValidation allowBlank="true" errorStyle="stop" operator="between" showDropDown="false" showErrorMessage="false" showInputMessage="false" sqref="B9" type="list">
      <formula1>Lists!$R$5:$R$48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Setup&amp;R&amp;8 Page &amp;P of &amp;N · printed &amp;D</oddFooter>
  </headerFooter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2"/>
    <col collapsed="false" customWidth="true" hidden="false" outlineLevel="0" max="5" min="5" style="0" width="22"/>
    <col collapsed="false" customWidth="true" hidden="false" outlineLevel="0" max="6" min="6" style="0" width="2"/>
    <col collapsed="false" customWidth="true" hidden="false" outlineLevel="0" max="7" min="7" style="0" width="30"/>
    <col collapsed="false" customWidth="true" hidden="false" outlineLevel="0" max="8" min="8" style="0" width="16"/>
    <col collapsed="false" customWidth="true" hidden="false" outlineLevel="0" max="9" min="9" style="0" width="2"/>
    <col collapsed="false" customWidth="true" hidden="false" outlineLevel="0" max="10" min="10" style="0" width="30"/>
    <col collapsed="false" customWidth="true" hidden="false" outlineLevel="0" max="11" min="11" style="0" width="2"/>
    <col collapsed="false" customWidth="true" hidden="false" outlineLevel="0" max="12" min="12" style="0" width="30"/>
    <col collapsed="false" customWidth="true" hidden="false" outlineLevel="0" max="13" min="13" style="0" width="2"/>
    <col collapsed="false" customWidth="true" hidden="false" outlineLevel="0" max="14" min="14" style="0" width="22"/>
    <col collapsed="false" customWidth="true" hidden="false" outlineLevel="0" max="15" min="15" style="0" width="2"/>
    <col collapsed="false" customWidth="true" hidden="false" outlineLevel="0" max="16" min="16" style="0" width="20"/>
    <col collapsed="false" customWidth="true" hidden="false" outlineLevel="0" max="17" min="17" style="0" width="2"/>
    <col collapsed="false" customWidth="true" hidden="false" outlineLevel="0" max="18" min="18" style="0" width="16"/>
    <col collapsed="false" customWidth="true" hidden="false" outlineLevel="0" max="19" min="19" style="0" width="2"/>
    <col collapsed="false" customWidth="true" hidden="false" outlineLevel="0" max="20" min="20" style="0" width="34"/>
    <col collapsed="false" customWidth="true" hidden="false" outlineLevel="0" max="22" min="22" style="0" width="34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24" hidden="false" customHeight="true" outlineLevel="0" collapsed="false">
      <c r="A2" s="98" t="s">
        <v>222</v>
      </c>
    </row>
    <row r="3" customFormat="false" ht="15" hidden="false" customHeight="false" outlineLevel="0" collapsed="false">
      <c r="A3" s="21" t="s">
        <v>223</v>
      </c>
    </row>
    <row r="4" customFormat="false" ht="15" hidden="false" customHeight="false" outlineLevel="0" collapsed="false">
      <c r="A4" s="115" t="s">
        <v>224</v>
      </c>
      <c r="B4" s="115" t="s">
        <v>225</v>
      </c>
      <c r="C4" s="115" t="s">
        <v>226</v>
      </c>
      <c r="E4" s="115" t="s">
        <v>227</v>
      </c>
      <c r="G4" s="115" t="s">
        <v>228</v>
      </c>
      <c r="H4" s="115" t="s">
        <v>229</v>
      </c>
      <c r="J4" s="115" t="s">
        <v>230</v>
      </c>
      <c r="L4" s="115" t="s">
        <v>231</v>
      </c>
      <c r="N4" s="115" t="s">
        <v>232</v>
      </c>
      <c r="P4" s="115" t="s">
        <v>233</v>
      </c>
      <c r="R4" s="115" t="s">
        <v>139</v>
      </c>
      <c r="T4" s="115" t="s">
        <v>234</v>
      </c>
      <c r="V4" s="115" t="s">
        <v>235</v>
      </c>
    </row>
    <row r="5" customFormat="false" ht="15" hidden="false" customHeight="false" outlineLevel="0" collapsed="false">
      <c r="A5" s="116" t="s">
        <v>236</v>
      </c>
      <c r="B5" s="116" t="s">
        <v>237</v>
      </c>
      <c r="C5" s="116" t="s">
        <v>238</v>
      </c>
      <c r="E5" s="116" t="s">
        <v>239</v>
      </c>
      <c r="G5" s="117" t="s">
        <v>240</v>
      </c>
      <c r="H5" s="99" t="s">
        <v>241</v>
      </c>
      <c r="J5" s="116" t="s">
        <v>242</v>
      </c>
      <c r="L5" s="116" t="s">
        <v>243</v>
      </c>
      <c r="N5" s="116" t="s">
        <v>244</v>
      </c>
      <c r="P5" s="116" t="s">
        <v>245</v>
      </c>
      <c r="R5" s="116" t="s">
        <v>246</v>
      </c>
      <c r="T5" s="116" t="s">
        <v>237</v>
      </c>
      <c r="V5" s="99" t="s">
        <v>247</v>
      </c>
    </row>
    <row r="6" customFormat="false" ht="15" hidden="false" customHeight="false" outlineLevel="0" collapsed="false">
      <c r="A6" s="116" t="s">
        <v>248</v>
      </c>
      <c r="B6" s="116" t="s">
        <v>237</v>
      </c>
      <c r="C6" s="116" t="s">
        <v>238</v>
      </c>
      <c r="E6" s="116" t="s">
        <v>249</v>
      </c>
      <c r="G6" s="116" t="s">
        <v>247</v>
      </c>
      <c r="H6" s="99" t="s">
        <v>241</v>
      </c>
      <c r="J6" s="116" t="s">
        <v>250</v>
      </c>
      <c r="L6" s="116" t="s">
        <v>251</v>
      </c>
      <c r="N6" s="116" t="s">
        <v>252</v>
      </c>
      <c r="P6" s="116" t="s">
        <v>253</v>
      </c>
      <c r="R6" s="116" t="s">
        <v>140</v>
      </c>
      <c r="T6" s="116" t="s">
        <v>254</v>
      </c>
      <c r="V6" s="99" t="s">
        <v>255</v>
      </c>
    </row>
    <row r="7" customFormat="false" ht="15" hidden="false" customHeight="false" outlineLevel="0" collapsed="false">
      <c r="A7" s="116" t="s">
        <v>256</v>
      </c>
      <c r="B7" s="116" t="s">
        <v>237</v>
      </c>
      <c r="C7" s="116" t="s">
        <v>238</v>
      </c>
      <c r="E7" s="116" t="s">
        <v>257</v>
      </c>
      <c r="G7" s="116" t="s">
        <v>255</v>
      </c>
      <c r="H7" s="99" t="s">
        <v>241</v>
      </c>
      <c r="J7" s="116" t="s">
        <v>258</v>
      </c>
      <c r="L7" s="116" t="s">
        <v>259</v>
      </c>
      <c r="N7" s="116" t="s">
        <v>260</v>
      </c>
      <c r="P7" s="116" t="s">
        <v>261</v>
      </c>
      <c r="R7" s="116" t="s">
        <v>262</v>
      </c>
      <c r="T7" s="116" t="s">
        <v>263</v>
      </c>
      <c r="V7" s="99" t="s">
        <v>264</v>
      </c>
    </row>
    <row r="8" customFormat="false" ht="15" hidden="false" customHeight="false" outlineLevel="0" collapsed="false">
      <c r="A8" s="116" t="s">
        <v>265</v>
      </c>
      <c r="B8" s="116" t="s">
        <v>237</v>
      </c>
      <c r="C8" s="116" t="s">
        <v>238</v>
      </c>
      <c r="E8" s="116" t="s">
        <v>266</v>
      </c>
      <c r="G8" s="116" t="s">
        <v>264</v>
      </c>
      <c r="H8" s="99" t="s">
        <v>241</v>
      </c>
      <c r="J8" s="116" t="s">
        <v>267</v>
      </c>
      <c r="L8" s="116" t="s">
        <v>268</v>
      </c>
      <c r="N8" s="116" t="s">
        <v>269</v>
      </c>
      <c r="P8" s="116" t="s">
        <v>270</v>
      </c>
      <c r="R8" s="116" t="s">
        <v>271</v>
      </c>
      <c r="T8" s="116" t="s">
        <v>272</v>
      </c>
      <c r="V8" s="99" t="s">
        <v>273</v>
      </c>
    </row>
    <row r="9" customFormat="false" ht="15" hidden="false" customHeight="false" outlineLevel="0" collapsed="false">
      <c r="A9" s="116" t="s">
        <v>274</v>
      </c>
      <c r="B9" s="116" t="s">
        <v>237</v>
      </c>
      <c r="C9" s="116" t="s">
        <v>275</v>
      </c>
      <c r="E9" s="116" t="s">
        <v>276</v>
      </c>
      <c r="G9" s="116" t="s">
        <v>273</v>
      </c>
      <c r="H9" s="99" t="s">
        <v>241</v>
      </c>
      <c r="J9" s="116" t="s">
        <v>277</v>
      </c>
      <c r="L9" s="116" t="s">
        <v>278</v>
      </c>
      <c r="N9" s="116" t="s">
        <v>279</v>
      </c>
      <c r="P9" s="116" t="s">
        <v>280</v>
      </c>
      <c r="R9" s="116"/>
      <c r="T9" s="116" t="s">
        <v>281</v>
      </c>
      <c r="V9" s="99" t="s">
        <v>282</v>
      </c>
    </row>
    <row r="10" customFormat="false" ht="15" hidden="false" customHeight="false" outlineLevel="0" collapsed="false">
      <c r="A10" s="116" t="s">
        <v>283</v>
      </c>
      <c r="B10" s="116" t="s">
        <v>237</v>
      </c>
      <c r="C10" s="116" t="s">
        <v>275</v>
      </c>
      <c r="E10" s="116" t="s">
        <v>284</v>
      </c>
      <c r="G10" s="116" t="s">
        <v>282</v>
      </c>
      <c r="H10" s="99" t="s">
        <v>241</v>
      </c>
      <c r="J10" s="116" t="s">
        <v>255</v>
      </c>
      <c r="L10" s="116" t="s">
        <v>285</v>
      </c>
      <c r="N10" s="116" t="s">
        <v>286</v>
      </c>
      <c r="P10" s="116" t="s">
        <v>287</v>
      </c>
      <c r="R10" s="116"/>
      <c r="T10" s="116" t="s">
        <v>288</v>
      </c>
      <c r="V10" s="99" t="s">
        <v>289</v>
      </c>
    </row>
    <row r="11" customFormat="false" ht="15" hidden="false" customHeight="false" outlineLevel="0" collapsed="false">
      <c r="A11" s="116" t="s">
        <v>290</v>
      </c>
      <c r="B11" s="116" t="s">
        <v>237</v>
      </c>
      <c r="C11" s="116" t="s">
        <v>275</v>
      </c>
      <c r="E11" s="116" t="s">
        <v>291</v>
      </c>
      <c r="G11" s="116" t="s">
        <v>289</v>
      </c>
      <c r="H11" s="99" t="s">
        <v>241</v>
      </c>
      <c r="J11" s="116" t="s">
        <v>264</v>
      </c>
      <c r="L11" s="116" t="s">
        <v>292</v>
      </c>
      <c r="N11" s="116" t="s">
        <v>293</v>
      </c>
      <c r="P11" s="116" t="s">
        <v>294</v>
      </c>
      <c r="R11" s="116"/>
      <c r="T11" s="116" t="s">
        <v>295</v>
      </c>
      <c r="V11" s="99" t="s">
        <v>296</v>
      </c>
    </row>
    <row r="12" customFormat="false" ht="15" hidden="false" customHeight="false" outlineLevel="0" collapsed="false">
      <c r="A12" s="116" t="s">
        <v>297</v>
      </c>
      <c r="B12" s="116" t="s">
        <v>254</v>
      </c>
      <c r="C12" s="116" t="s">
        <v>238</v>
      </c>
      <c r="E12" s="116" t="s">
        <v>298</v>
      </c>
      <c r="G12" s="116" t="s">
        <v>296</v>
      </c>
      <c r="H12" s="99" t="s">
        <v>241</v>
      </c>
      <c r="J12" s="116" t="s">
        <v>282</v>
      </c>
      <c r="L12" s="116" t="s">
        <v>299</v>
      </c>
      <c r="N12" s="116" t="s">
        <v>300</v>
      </c>
      <c r="P12" s="116" t="s">
        <v>301</v>
      </c>
      <c r="R12" s="116"/>
      <c r="T12" s="116" t="s">
        <v>302</v>
      </c>
      <c r="V12" s="99" t="s">
        <v>267</v>
      </c>
    </row>
    <row r="13" customFormat="false" ht="15" hidden="false" customHeight="false" outlineLevel="0" collapsed="false">
      <c r="A13" s="116" t="s">
        <v>303</v>
      </c>
      <c r="B13" s="116" t="s">
        <v>254</v>
      </c>
      <c r="C13" s="116" t="s">
        <v>238</v>
      </c>
      <c r="E13" s="116" t="s">
        <v>304</v>
      </c>
      <c r="G13" s="116" t="s">
        <v>267</v>
      </c>
      <c r="H13" s="99" t="s">
        <v>241</v>
      </c>
      <c r="J13" s="116" t="s">
        <v>305</v>
      </c>
      <c r="L13" s="116" t="s">
        <v>306</v>
      </c>
      <c r="N13" s="116" t="s">
        <v>307</v>
      </c>
      <c r="P13" s="116" t="s">
        <v>308</v>
      </c>
      <c r="R13" s="116"/>
      <c r="T13" s="116" t="s">
        <v>309</v>
      </c>
      <c r="V13" s="99" t="s">
        <v>310</v>
      </c>
    </row>
    <row r="14" customFormat="false" ht="15" hidden="false" customHeight="false" outlineLevel="0" collapsed="false">
      <c r="A14" s="116" t="s">
        <v>311</v>
      </c>
      <c r="B14" s="116" t="s">
        <v>254</v>
      </c>
      <c r="C14" s="116" t="s">
        <v>238</v>
      </c>
      <c r="E14" s="116" t="s">
        <v>312</v>
      </c>
      <c r="G14" s="116" t="s">
        <v>310</v>
      </c>
      <c r="H14" s="99" t="s">
        <v>241</v>
      </c>
      <c r="J14" s="116" t="s">
        <v>313</v>
      </c>
      <c r="L14" s="116" t="s">
        <v>314</v>
      </c>
      <c r="N14" s="116" t="s">
        <v>315</v>
      </c>
      <c r="P14" s="116" t="s">
        <v>316</v>
      </c>
      <c r="R14" s="116"/>
      <c r="T14" s="116" t="s">
        <v>317</v>
      </c>
      <c r="V14" s="99" t="s">
        <v>318</v>
      </c>
    </row>
    <row r="15" customFormat="false" ht="15" hidden="false" customHeight="false" outlineLevel="0" collapsed="false">
      <c r="A15" s="116" t="s">
        <v>319</v>
      </c>
      <c r="B15" s="116" t="s">
        <v>254</v>
      </c>
      <c r="C15" s="116" t="s">
        <v>238</v>
      </c>
      <c r="E15" s="116" t="s">
        <v>320</v>
      </c>
      <c r="G15" s="116" t="s">
        <v>318</v>
      </c>
      <c r="H15" s="99" t="s">
        <v>241</v>
      </c>
      <c r="J15" s="116" t="s">
        <v>321</v>
      </c>
      <c r="L15" s="116" t="s">
        <v>322</v>
      </c>
      <c r="N15" s="116" t="s">
        <v>323</v>
      </c>
      <c r="P15" s="116" t="s">
        <v>324</v>
      </c>
      <c r="R15" s="116"/>
      <c r="T15" s="116" t="s">
        <v>325</v>
      </c>
      <c r="V15" s="99" t="s">
        <v>326</v>
      </c>
    </row>
    <row r="16" customFormat="false" ht="15" hidden="false" customHeight="false" outlineLevel="0" collapsed="false">
      <c r="A16" s="116" t="s">
        <v>327</v>
      </c>
      <c r="B16" s="116" t="s">
        <v>254</v>
      </c>
      <c r="C16" s="116" t="s">
        <v>238</v>
      </c>
      <c r="E16" s="116" t="s">
        <v>328</v>
      </c>
      <c r="G16" s="116" t="s">
        <v>326</v>
      </c>
      <c r="H16" s="99" t="s">
        <v>241</v>
      </c>
      <c r="J16" s="116" t="s">
        <v>329</v>
      </c>
      <c r="L16" s="116" t="s">
        <v>330</v>
      </c>
      <c r="N16" s="116" t="s">
        <v>331</v>
      </c>
      <c r="P16" s="116" t="s">
        <v>332</v>
      </c>
      <c r="R16" s="116"/>
      <c r="T16" s="116" t="s">
        <v>252</v>
      </c>
      <c r="V16" s="99" t="s">
        <v>333</v>
      </c>
    </row>
    <row r="17" customFormat="false" ht="15" hidden="false" customHeight="false" outlineLevel="0" collapsed="false">
      <c r="A17" s="116" t="s">
        <v>334</v>
      </c>
      <c r="B17" s="116" t="s">
        <v>254</v>
      </c>
      <c r="C17" s="116" t="s">
        <v>238</v>
      </c>
      <c r="E17" s="116" t="s">
        <v>335</v>
      </c>
      <c r="G17" s="116" t="s">
        <v>333</v>
      </c>
      <c r="H17" s="99" t="s">
        <v>241</v>
      </c>
      <c r="J17" s="116" t="s">
        <v>336</v>
      </c>
      <c r="L17" s="116" t="s">
        <v>337</v>
      </c>
      <c r="N17" s="116" t="s">
        <v>338</v>
      </c>
      <c r="P17" s="116" t="s">
        <v>339</v>
      </c>
      <c r="R17" s="116"/>
      <c r="T17" s="116" t="s">
        <v>340</v>
      </c>
      <c r="V17" s="99" t="s">
        <v>341</v>
      </c>
    </row>
    <row r="18" customFormat="false" ht="15" hidden="false" customHeight="false" outlineLevel="0" collapsed="false">
      <c r="A18" s="116" t="s">
        <v>342</v>
      </c>
      <c r="B18" s="116" t="s">
        <v>254</v>
      </c>
      <c r="C18" s="116" t="s">
        <v>238</v>
      </c>
      <c r="E18" s="116" t="s">
        <v>343</v>
      </c>
      <c r="G18" s="116" t="s">
        <v>341</v>
      </c>
      <c r="H18" s="99" t="s">
        <v>241</v>
      </c>
      <c r="J18" s="116" t="s">
        <v>344</v>
      </c>
      <c r="L18" s="116" t="s">
        <v>345</v>
      </c>
      <c r="N18" s="116" t="s">
        <v>346</v>
      </c>
      <c r="P18" s="116" t="s">
        <v>347</v>
      </c>
      <c r="R18" s="116"/>
      <c r="T18" s="116" t="s">
        <v>348</v>
      </c>
      <c r="V18" s="99" t="s">
        <v>349</v>
      </c>
    </row>
    <row r="19" customFormat="false" ht="15" hidden="false" customHeight="false" outlineLevel="0" collapsed="false">
      <c r="A19" s="116" t="s">
        <v>350</v>
      </c>
      <c r="B19" s="116" t="s">
        <v>263</v>
      </c>
      <c r="C19" s="116" t="s">
        <v>238</v>
      </c>
      <c r="E19" s="116" t="s">
        <v>346</v>
      </c>
      <c r="G19" s="116" t="s">
        <v>349</v>
      </c>
      <c r="H19" s="99" t="s">
        <v>241</v>
      </c>
      <c r="J19" s="116" t="s">
        <v>351</v>
      </c>
      <c r="L19" s="116" t="s">
        <v>352</v>
      </c>
      <c r="N19" s="116" t="s">
        <v>353</v>
      </c>
      <c r="P19" s="116" t="s">
        <v>354</v>
      </c>
      <c r="R19" s="116"/>
      <c r="T19" s="116" t="s">
        <v>354</v>
      </c>
      <c r="V19" s="99" t="s">
        <v>355</v>
      </c>
    </row>
    <row r="20" customFormat="false" ht="15" hidden="false" customHeight="false" outlineLevel="0" collapsed="false">
      <c r="A20" s="116" t="s">
        <v>356</v>
      </c>
      <c r="B20" s="116" t="s">
        <v>263</v>
      </c>
      <c r="C20" s="116" t="s">
        <v>238</v>
      </c>
      <c r="E20" s="116" t="s">
        <v>357</v>
      </c>
      <c r="G20" s="116" t="s">
        <v>355</v>
      </c>
      <c r="H20" s="99" t="s">
        <v>241</v>
      </c>
      <c r="J20" s="116" t="s">
        <v>358</v>
      </c>
      <c r="L20" s="116" t="s">
        <v>359</v>
      </c>
      <c r="N20" s="116" t="s">
        <v>360</v>
      </c>
      <c r="P20" s="116"/>
      <c r="R20" s="116"/>
      <c r="T20" s="116"/>
      <c r="V20" s="99" t="s">
        <v>361</v>
      </c>
    </row>
    <row r="21" customFormat="false" ht="15" hidden="false" customHeight="false" outlineLevel="0" collapsed="false">
      <c r="A21" s="116" t="s">
        <v>362</v>
      </c>
      <c r="B21" s="116" t="s">
        <v>263</v>
      </c>
      <c r="C21" s="116" t="s">
        <v>275</v>
      </c>
      <c r="E21" s="116" t="s">
        <v>363</v>
      </c>
      <c r="G21" s="116" t="s">
        <v>361</v>
      </c>
      <c r="H21" s="99" t="s">
        <v>241</v>
      </c>
      <c r="J21" s="116" t="s">
        <v>364</v>
      </c>
      <c r="L21" s="116" t="s">
        <v>365</v>
      </c>
      <c r="N21" s="116" t="s">
        <v>354</v>
      </c>
      <c r="P21" s="116"/>
      <c r="R21" s="116"/>
      <c r="T21" s="116"/>
      <c r="V21" s="99" t="s">
        <v>366</v>
      </c>
    </row>
    <row r="22" customFormat="false" ht="15" hidden="false" customHeight="false" outlineLevel="0" collapsed="false">
      <c r="A22" s="116" t="s">
        <v>367</v>
      </c>
      <c r="B22" s="116" t="s">
        <v>263</v>
      </c>
      <c r="C22" s="116" t="s">
        <v>275</v>
      </c>
      <c r="E22" s="116" t="s">
        <v>368</v>
      </c>
      <c r="G22" s="116" t="s">
        <v>366</v>
      </c>
      <c r="H22" s="99" t="s">
        <v>241</v>
      </c>
      <c r="J22" s="116" t="s">
        <v>369</v>
      </c>
      <c r="L22" s="116" t="s">
        <v>370</v>
      </c>
      <c r="N22" s="116"/>
      <c r="P22" s="116"/>
      <c r="R22" s="116"/>
      <c r="T22" s="116"/>
      <c r="V22" s="99" t="s">
        <v>371</v>
      </c>
    </row>
    <row r="23" customFormat="false" ht="15" hidden="false" customHeight="false" outlineLevel="0" collapsed="false">
      <c r="A23" s="116" t="s">
        <v>372</v>
      </c>
      <c r="B23" s="116" t="s">
        <v>263</v>
      </c>
      <c r="C23" s="116" t="s">
        <v>238</v>
      </c>
      <c r="E23" s="116" t="s">
        <v>373</v>
      </c>
      <c r="G23" s="116" t="s">
        <v>371</v>
      </c>
      <c r="H23" s="99" t="s">
        <v>241</v>
      </c>
      <c r="J23" s="116" t="s">
        <v>374</v>
      </c>
      <c r="L23" s="116" t="s">
        <v>375</v>
      </c>
      <c r="N23" s="116"/>
      <c r="P23" s="116"/>
      <c r="R23" s="116"/>
      <c r="T23" s="116"/>
      <c r="V23" s="99" t="s">
        <v>376</v>
      </c>
    </row>
    <row r="24" customFormat="false" ht="15" hidden="false" customHeight="false" outlineLevel="0" collapsed="false">
      <c r="A24" s="116" t="s">
        <v>377</v>
      </c>
      <c r="B24" s="116" t="s">
        <v>263</v>
      </c>
      <c r="C24" s="116" t="s">
        <v>275</v>
      </c>
      <c r="E24" s="116" t="s">
        <v>378</v>
      </c>
      <c r="G24" s="116" t="s">
        <v>376</v>
      </c>
      <c r="H24" s="99" t="s">
        <v>241</v>
      </c>
      <c r="J24" s="116" t="s">
        <v>379</v>
      </c>
      <c r="L24" s="116" t="s">
        <v>380</v>
      </c>
      <c r="N24" s="116"/>
      <c r="P24" s="116"/>
      <c r="R24" s="116"/>
      <c r="T24" s="116"/>
      <c r="V24" s="99" t="s">
        <v>381</v>
      </c>
    </row>
    <row r="25" customFormat="false" ht="15" hidden="false" customHeight="false" outlineLevel="0" collapsed="false">
      <c r="A25" s="116" t="s">
        <v>382</v>
      </c>
      <c r="B25" s="116" t="s">
        <v>263</v>
      </c>
      <c r="C25" s="116" t="s">
        <v>275</v>
      </c>
      <c r="E25" s="116" t="s">
        <v>354</v>
      </c>
      <c r="G25" s="116" t="s">
        <v>381</v>
      </c>
      <c r="H25" s="99" t="s">
        <v>241</v>
      </c>
      <c r="J25" s="116" t="s">
        <v>383</v>
      </c>
      <c r="L25" s="116" t="s">
        <v>384</v>
      </c>
      <c r="N25" s="116"/>
      <c r="P25" s="116"/>
      <c r="R25" s="116"/>
      <c r="T25" s="116"/>
      <c r="V25" s="99" t="s">
        <v>374</v>
      </c>
    </row>
    <row r="26" customFormat="false" ht="15" hidden="false" customHeight="false" outlineLevel="0" collapsed="false">
      <c r="A26" s="116" t="s">
        <v>385</v>
      </c>
      <c r="B26" s="116" t="s">
        <v>272</v>
      </c>
      <c r="C26" s="116" t="s">
        <v>275</v>
      </c>
      <c r="E26" s="116"/>
      <c r="G26" s="116" t="s">
        <v>374</v>
      </c>
      <c r="H26" s="99" t="s">
        <v>241</v>
      </c>
      <c r="J26" s="116" t="s">
        <v>386</v>
      </c>
      <c r="L26" s="116" t="s">
        <v>387</v>
      </c>
      <c r="N26" s="116"/>
      <c r="P26" s="116"/>
      <c r="R26" s="116"/>
      <c r="T26" s="116"/>
      <c r="V26" s="99" t="s">
        <v>242</v>
      </c>
    </row>
    <row r="27" customFormat="false" ht="15" hidden="false" customHeight="false" outlineLevel="0" collapsed="false">
      <c r="A27" s="116" t="s">
        <v>388</v>
      </c>
      <c r="B27" s="116" t="s">
        <v>272</v>
      </c>
      <c r="C27" s="116" t="s">
        <v>275</v>
      </c>
      <c r="E27" s="116"/>
      <c r="G27" s="116" t="s">
        <v>242</v>
      </c>
      <c r="H27" s="99" t="s">
        <v>241</v>
      </c>
      <c r="J27" s="116" t="s">
        <v>389</v>
      </c>
      <c r="L27" s="116" t="s">
        <v>390</v>
      </c>
      <c r="N27" s="116"/>
      <c r="P27" s="116"/>
      <c r="R27" s="116"/>
      <c r="T27" s="116"/>
      <c r="V27" s="99" t="s">
        <v>391</v>
      </c>
    </row>
    <row r="28" customFormat="false" ht="15" hidden="false" customHeight="false" outlineLevel="0" collapsed="false">
      <c r="A28" s="116" t="s">
        <v>392</v>
      </c>
      <c r="B28" s="116" t="s">
        <v>272</v>
      </c>
      <c r="C28" s="116" t="s">
        <v>275</v>
      </c>
      <c r="E28" s="116"/>
      <c r="G28" s="116" t="s">
        <v>391</v>
      </c>
      <c r="H28" s="99" t="s">
        <v>241</v>
      </c>
      <c r="J28" s="116" t="s">
        <v>393</v>
      </c>
      <c r="L28" s="116" t="s">
        <v>394</v>
      </c>
      <c r="N28" s="116"/>
      <c r="P28" s="116"/>
      <c r="R28" s="116"/>
      <c r="T28" s="116"/>
      <c r="V28" s="99" t="s">
        <v>395</v>
      </c>
    </row>
    <row r="29" customFormat="false" ht="15" hidden="false" customHeight="false" outlineLevel="0" collapsed="false">
      <c r="A29" s="116" t="s">
        <v>396</v>
      </c>
      <c r="B29" s="116" t="s">
        <v>272</v>
      </c>
      <c r="C29" s="116" t="s">
        <v>275</v>
      </c>
      <c r="E29" s="116"/>
      <c r="G29" s="116" t="s">
        <v>395</v>
      </c>
      <c r="H29" s="99" t="s">
        <v>241</v>
      </c>
      <c r="J29" s="116" t="s">
        <v>397</v>
      </c>
      <c r="L29" s="116" t="s">
        <v>398</v>
      </c>
      <c r="N29" s="116"/>
      <c r="P29" s="116"/>
      <c r="R29" s="116"/>
      <c r="T29" s="116"/>
      <c r="V29" s="99" t="s">
        <v>399</v>
      </c>
    </row>
    <row r="30" customFormat="false" ht="15" hidden="false" customHeight="false" outlineLevel="0" collapsed="false">
      <c r="A30" s="116" t="s">
        <v>400</v>
      </c>
      <c r="B30" s="116" t="s">
        <v>281</v>
      </c>
      <c r="C30" s="116" t="s">
        <v>238</v>
      </c>
      <c r="E30" s="116"/>
      <c r="G30" s="116" t="s">
        <v>399</v>
      </c>
      <c r="H30" s="99" t="s">
        <v>241</v>
      </c>
      <c r="J30" s="116" t="s">
        <v>401</v>
      </c>
      <c r="L30" s="116" t="s">
        <v>402</v>
      </c>
      <c r="N30" s="116"/>
      <c r="P30" s="116"/>
      <c r="R30" s="116"/>
      <c r="T30" s="116"/>
      <c r="V30" s="99" t="s">
        <v>403</v>
      </c>
    </row>
    <row r="31" customFormat="false" ht="15" hidden="false" customHeight="false" outlineLevel="0" collapsed="false">
      <c r="A31" s="116" t="s">
        <v>404</v>
      </c>
      <c r="B31" s="116" t="s">
        <v>281</v>
      </c>
      <c r="C31" s="116" t="s">
        <v>275</v>
      </c>
      <c r="E31" s="116"/>
      <c r="G31" s="116" t="s">
        <v>403</v>
      </c>
      <c r="H31" s="99" t="s">
        <v>241</v>
      </c>
      <c r="J31" s="116" t="s">
        <v>405</v>
      </c>
      <c r="L31" s="116" t="s">
        <v>406</v>
      </c>
      <c r="N31" s="116"/>
      <c r="P31" s="116"/>
      <c r="R31" s="116"/>
      <c r="T31" s="116"/>
      <c r="V31" s="99" t="s">
        <v>407</v>
      </c>
    </row>
    <row r="32" customFormat="false" ht="15" hidden="false" customHeight="false" outlineLevel="0" collapsed="false">
      <c r="A32" s="116" t="s">
        <v>408</v>
      </c>
      <c r="B32" s="116" t="s">
        <v>281</v>
      </c>
      <c r="C32" s="116" t="s">
        <v>275</v>
      </c>
      <c r="E32" s="116"/>
      <c r="G32" s="116" t="s">
        <v>407</v>
      </c>
      <c r="H32" s="99" t="s">
        <v>241</v>
      </c>
      <c r="J32" s="116" t="s">
        <v>409</v>
      </c>
      <c r="L32" s="116" t="s">
        <v>410</v>
      </c>
      <c r="N32" s="116"/>
      <c r="P32" s="116"/>
      <c r="R32" s="116"/>
      <c r="T32" s="116"/>
      <c r="V32" s="99" t="s">
        <v>411</v>
      </c>
    </row>
    <row r="33" customFormat="false" ht="15" hidden="false" customHeight="false" outlineLevel="0" collapsed="false">
      <c r="A33" s="116" t="s">
        <v>412</v>
      </c>
      <c r="B33" s="116" t="s">
        <v>281</v>
      </c>
      <c r="C33" s="116" t="s">
        <v>275</v>
      </c>
      <c r="E33" s="116"/>
      <c r="G33" s="116" t="s">
        <v>411</v>
      </c>
      <c r="H33" s="99" t="s">
        <v>241</v>
      </c>
      <c r="J33" s="116" t="s">
        <v>413</v>
      </c>
      <c r="L33" s="116" t="s">
        <v>354</v>
      </c>
      <c r="N33" s="116"/>
      <c r="P33" s="116"/>
      <c r="R33" s="116"/>
      <c r="T33" s="116"/>
      <c r="V33" s="99" t="s">
        <v>414</v>
      </c>
    </row>
    <row r="34" customFormat="false" ht="15" hidden="false" customHeight="false" outlineLevel="0" collapsed="false">
      <c r="A34" s="116" t="s">
        <v>415</v>
      </c>
      <c r="B34" s="116" t="s">
        <v>281</v>
      </c>
      <c r="C34" s="116" t="s">
        <v>238</v>
      </c>
      <c r="E34" s="116"/>
      <c r="G34" s="116" t="s">
        <v>414</v>
      </c>
      <c r="H34" s="99" t="s">
        <v>241</v>
      </c>
      <c r="J34" s="116" t="s">
        <v>416</v>
      </c>
      <c r="L34" s="116"/>
      <c r="N34" s="116"/>
      <c r="P34" s="116"/>
      <c r="R34" s="116"/>
      <c r="T34" s="116"/>
      <c r="V34" s="99" t="s">
        <v>417</v>
      </c>
    </row>
    <row r="35" customFormat="false" ht="15" hidden="false" customHeight="false" outlineLevel="0" collapsed="false">
      <c r="A35" s="116" t="s">
        <v>418</v>
      </c>
      <c r="B35" s="116" t="s">
        <v>281</v>
      </c>
      <c r="C35" s="116" t="s">
        <v>238</v>
      </c>
      <c r="E35" s="116"/>
      <c r="G35" s="116" t="s">
        <v>417</v>
      </c>
      <c r="H35" s="99" t="s">
        <v>241</v>
      </c>
      <c r="J35" s="116" t="s">
        <v>419</v>
      </c>
      <c r="L35" s="116"/>
      <c r="N35" s="116"/>
      <c r="P35" s="116"/>
      <c r="R35" s="116"/>
      <c r="T35" s="116"/>
      <c r="V35" s="99" t="s">
        <v>420</v>
      </c>
    </row>
    <row r="36" customFormat="false" ht="15" hidden="false" customHeight="false" outlineLevel="0" collapsed="false">
      <c r="A36" s="116" t="s">
        <v>421</v>
      </c>
      <c r="B36" s="116" t="s">
        <v>281</v>
      </c>
      <c r="C36" s="116" t="s">
        <v>238</v>
      </c>
      <c r="E36" s="116"/>
      <c r="G36" s="116" t="s">
        <v>420</v>
      </c>
      <c r="H36" s="99" t="s">
        <v>241</v>
      </c>
      <c r="J36" s="116" t="s">
        <v>422</v>
      </c>
      <c r="L36" s="116"/>
      <c r="N36" s="116"/>
      <c r="P36" s="116"/>
      <c r="R36" s="116"/>
      <c r="T36" s="116"/>
      <c r="V36" s="99" t="s">
        <v>423</v>
      </c>
    </row>
    <row r="37" customFormat="false" ht="15" hidden="false" customHeight="false" outlineLevel="0" collapsed="false">
      <c r="A37" s="116" t="s">
        <v>424</v>
      </c>
      <c r="B37" s="116" t="s">
        <v>288</v>
      </c>
      <c r="C37" s="116" t="s">
        <v>238</v>
      </c>
      <c r="E37" s="116"/>
      <c r="G37" s="116" t="s">
        <v>423</v>
      </c>
      <c r="H37" s="99" t="s">
        <v>241</v>
      </c>
      <c r="J37" s="116" t="s">
        <v>425</v>
      </c>
      <c r="L37" s="116"/>
      <c r="N37" s="116"/>
      <c r="P37" s="116"/>
      <c r="R37" s="116"/>
      <c r="T37" s="116"/>
      <c r="V37" s="99" t="s">
        <v>426</v>
      </c>
    </row>
    <row r="38" customFormat="false" ht="15" hidden="false" customHeight="false" outlineLevel="0" collapsed="false">
      <c r="A38" s="116" t="s">
        <v>427</v>
      </c>
      <c r="B38" s="116" t="s">
        <v>288</v>
      </c>
      <c r="C38" s="116" t="s">
        <v>238</v>
      </c>
      <c r="E38" s="116"/>
      <c r="G38" s="116" t="s">
        <v>426</v>
      </c>
      <c r="H38" s="99" t="s">
        <v>241</v>
      </c>
      <c r="J38" s="116" t="s">
        <v>428</v>
      </c>
      <c r="L38" s="116"/>
      <c r="N38" s="116"/>
      <c r="P38" s="116"/>
      <c r="R38" s="116"/>
      <c r="T38" s="116"/>
      <c r="V38" s="99" t="s">
        <v>429</v>
      </c>
    </row>
    <row r="39" customFormat="false" ht="15" hidden="false" customHeight="false" outlineLevel="0" collapsed="false">
      <c r="A39" s="116" t="s">
        <v>430</v>
      </c>
      <c r="B39" s="116" t="s">
        <v>295</v>
      </c>
      <c r="C39" s="116" t="s">
        <v>238</v>
      </c>
      <c r="E39" s="116"/>
      <c r="G39" s="116" t="s">
        <v>429</v>
      </c>
      <c r="H39" s="99" t="s">
        <v>241</v>
      </c>
      <c r="J39" s="116" t="s">
        <v>431</v>
      </c>
      <c r="L39" s="116"/>
      <c r="N39" s="116"/>
      <c r="P39" s="116"/>
      <c r="R39" s="116"/>
      <c r="T39" s="116"/>
      <c r="V39" s="99" t="s">
        <v>432</v>
      </c>
    </row>
    <row r="40" customFormat="false" ht="15" hidden="false" customHeight="false" outlineLevel="0" collapsed="false">
      <c r="A40" s="116" t="s">
        <v>308</v>
      </c>
      <c r="B40" s="116" t="s">
        <v>295</v>
      </c>
      <c r="C40" s="116" t="s">
        <v>238</v>
      </c>
      <c r="E40" s="116"/>
      <c r="G40" s="116" t="s">
        <v>432</v>
      </c>
      <c r="H40" s="99" t="s">
        <v>241</v>
      </c>
      <c r="J40" s="116" t="s">
        <v>433</v>
      </c>
      <c r="L40" s="116"/>
      <c r="N40" s="116"/>
      <c r="P40" s="116"/>
      <c r="R40" s="116"/>
      <c r="T40" s="116"/>
      <c r="V40" s="99" t="s">
        <v>434</v>
      </c>
    </row>
    <row r="41" customFormat="false" ht="15" hidden="false" customHeight="false" outlineLevel="0" collapsed="false">
      <c r="A41" s="116" t="s">
        <v>287</v>
      </c>
      <c r="B41" s="116" t="s">
        <v>295</v>
      </c>
      <c r="C41" s="116" t="s">
        <v>238</v>
      </c>
      <c r="E41" s="116"/>
      <c r="G41" s="116" t="s">
        <v>434</v>
      </c>
      <c r="H41" s="99" t="s">
        <v>241</v>
      </c>
      <c r="J41" s="116" t="s">
        <v>435</v>
      </c>
      <c r="L41" s="116"/>
      <c r="N41" s="116"/>
      <c r="P41" s="116"/>
      <c r="R41" s="116"/>
      <c r="T41" s="116"/>
      <c r="V41" s="99" t="s">
        <v>436</v>
      </c>
    </row>
    <row r="42" customFormat="false" ht="15" hidden="false" customHeight="false" outlineLevel="0" collapsed="false">
      <c r="A42" s="116" t="s">
        <v>294</v>
      </c>
      <c r="B42" s="116" t="s">
        <v>295</v>
      </c>
      <c r="C42" s="116" t="s">
        <v>238</v>
      </c>
      <c r="E42" s="116"/>
      <c r="G42" s="116" t="s">
        <v>436</v>
      </c>
      <c r="H42" s="99" t="s">
        <v>241</v>
      </c>
      <c r="J42" s="116" t="s">
        <v>437</v>
      </c>
      <c r="L42" s="116"/>
      <c r="N42" s="116"/>
      <c r="P42" s="116"/>
      <c r="R42" s="116"/>
      <c r="T42" s="116"/>
      <c r="V42" s="99" t="s">
        <v>438</v>
      </c>
    </row>
    <row r="43" customFormat="false" ht="15" hidden="false" customHeight="false" outlineLevel="0" collapsed="false">
      <c r="A43" s="116" t="s">
        <v>439</v>
      </c>
      <c r="B43" s="116" t="s">
        <v>295</v>
      </c>
      <c r="C43" s="116" t="s">
        <v>238</v>
      </c>
      <c r="E43" s="116"/>
      <c r="G43" s="116" t="s">
        <v>438</v>
      </c>
      <c r="H43" s="99" t="s">
        <v>241</v>
      </c>
      <c r="J43" s="116" t="s">
        <v>440</v>
      </c>
      <c r="L43" s="116"/>
      <c r="N43" s="116"/>
      <c r="P43" s="116"/>
      <c r="R43" s="116"/>
      <c r="T43" s="116"/>
      <c r="V43" s="99" t="s">
        <v>441</v>
      </c>
    </row>
    <row r="44" customFormat="false" ht="15" hidden="false" customHeight="false" outlineLevel="0" collapsed="false">
      <c r="A44" s="116" t="s">
        <v>442</v>
      </c>
      <c r="B44" s="116" t="s">
        <v>302</v>
      </c>
      <c r="C44" s="116" t="s">
        <v>238</v>
      </c>
      <c r="E44" s="116"/>
      <c r="G44" s="116" t="s">
        <v>441</v>
      </c>
      <c r="H44" s="99" t="s">
        <v>241</v>
      </c>
      <c r="J44" s="116" t="s">
        <v>443</v>
      </c>
      <c r="L44" s="116"/>
      <c r="N44" s="116"/>
      <c r="P44" s="116"/>
      <c r="R44" s="116"/>
      <c r="T44" s="116"/>
      <c r="V44" s="99" t="s">
        <v>444</v>
      </c>
    </row>
    <row r="45" customFormat="false" ht="15" hidden="false" customHeight="false" outlineLevel="0" collapsed="false">
      <c r="A45" s="116" t="s">
        <v>445</v>
      </c>
      <c r="B45" s="116" t="s">
        <v>302</v>
      </c>
      <c r="C45" s="116" t="s">
        <v>238</v>
      </c>
      <c r="E45" s="116"/>
      <c r="G45" s="116" t="s">
        <v>444</v>
      </c>
      <c r="H45" s="99" t="s">
        <v>241</v>
      </c>
      <c r="J45" s="116" t="s">
        <v>446</v>
      </c>
      <c r="L45" s="116"/>
      <c r="N45" s="116"/>
      <c r="P45" s="116"/>
      <c r="R45" s="116"/>
      <c r="T45" s="116"/>
      <c r="V45" s="99" t="s">
        <v>447</v>
      </c>
    </row>
    <row r="46" customFormat="false" ht="15" hidden="false" customHeight="false" outlineLevel="0" collapsed="false">
      <c r="A46" s="116" t="s">
        <v>448</v>
      </c>
      <c r="B46" s="116" t="s">
        <v>302</v>
      </c>
      <c r="C46" s="116" t="s">
        <v>275</v>
      </c>
      <c r="E46" s="116"/>
      <c r="G46" s="117" t="s">
        <v>449</v>
      </c>
      <c r="H46" s="99" t="s">
        <v>450</v>
      </c>
      <c r="J46" s="116" t="s">
        <v>451</v>
      </c>
      <c r="L46" s="116"/>
      <c r="N46" s="116"/>
      <c r="P46" s="116"/>
      <c r="R46" s="116"/>
      <c r="T46" s="116"/>
      <c r="V46" s="99" t="s">
        <v>452</v>
      </c>
    </row>
    <row r="47" customFormat="false" ht="15" hidden="false" customHeight="false" outlineLevel="0" collapsed="false">
      <c r="A47" s="116" t="s">
        <v>363</v>
      </c>
      <c r="B47" s="116" t="s">
        <v>302</v>
      </c>
      <c r="C47" s="116" t="s">
        <v>238</v>
      </c>
      <c r="E47" s="116"/>
      <c r="G47" s="116" t="s">
        <v>447</v>
      </c>
      <c r="H47" s="99" t="s">
        <v>450</v>
      </c>
      <c r="J47" s="116" t="s">
        <v>453</v>
      </c>
      <c r="L47" s="116"/>
      <c r="N47" s="116"/>
      <c r="P47" s="116"/>
      <c r="R47" s="116"/>
      <c r="T47" s="116"/>
      <c r="V47" s="99" t="s">
        <v>454</v>
      </c>
    </row>
    <row r="48" customFormat="false" ht="15" hidden="false" customHeight="false" outlineLevel="0" collapsed="false">
      <c r="A48" s="116" t="s">
        <v>455</v>
      </c>
      <c r="B48" s="116" t="s">
        <v>302</v>
      </c>
      <c r="C48" s="116" t="s">
        <v>238</v>
      </c>
      <c r="E48" s="116"/>
      <c r="G48" s="116" t="s">
        <v>452</v>
      </c>
      <c r="H48" s="99" t="s">
        <v>450</v>
      </c>
      <c r="J48" s="116" t="s">
        <v>354</v>
      </c>
      <c r="L48" s="116"/>
      <c r="N48" s="116"/>
      <c r="P48" s="116"/>
      <c r="R48" s="116"/>
      <c r="T48" s="116"/>
      <c r="V48" s="99" t="s">
        <v>456</v>
      </c>
    </row>
    <row r="49" customFormat="false" ht="15" hidden="false" customHeight="false" outlineLevel="0" collapsed="false">
      <c r="A49" s="116" t="s">
        <v>457</v>
      </c>
      <c r="B49" s="116" t="s">
        <v>302</v>
      </c>
      <c r="C49" s="116" t="s">
        <v>238</v>
      </c>
      <c r="E49" s="116"/>
      <c r="G49" s="116" t="s">
        <v>454</v>
      </c>
      <c r="H49" s="99" t="s">
        <v>450</v>
      </c>
      <c r="J49" s="116"/>
      <c r="L49" s="116"/>
      <c r="N49" s="116"/>
      <c r="P49" s="116"/>
      <c r="T49" s="116"/>
      <c r="V49" s="99" t="s">
        <v>458</v>
      </c>
    </row>
    <row r="50" customFormat="false" ht="15" hidden="false" customHeight="false" outlineLevel="0" collapsed="false">
      <c r="A50" s="116" t="s">
        <v>459</v>
      </c>
      <c r="B50" s="116" t="s">
        <v>302</v>
      </c>
      <c r="C50" s="116" t="s">
        <v>275</v>
      </c>
      <c r="E50" s="116"/>
      <c r="G50" s="116" t="s">
        <v>456</v>
      </c>
      <c r="H50" s="99" t="s">
        <v>450</v>
      </c>
      <c r="J50" s="116"/>
      <c r="L50" s="116"/>
      <c r="N50" s="116"/>
      <c r="P50" s="116"/>
      <c r="T50" s="116"/>
      <c r="V50" s="99" t="s">
        <v>460</v>
      </c>
    </row>
    <row r="51" customFormat="false" ht="15" hidden="false" customHeight="false" outlineLevel="0" collapsed="false">
      <c r="A51" s="116" t="s">
        <v>461</v>
      </c>
      <c r="B51" s="116" t="s">
        <v>309</v>
      </c>
      <c r="C51" s="116" t="s">
        <v>275</v>
      </c>
      <c r="E51" s="116"/>
      <c r="G51" s="116" t="s">
        <v>458</v>
      </c>
      <c r="H51" s="99" t="s">
        <v>450</v>
      </c>
      <c r="J51" s="116"/>
      <c r="L51" s="116"/>
      <c r="N51" s="116"/>
      <c r="P51" s="116"/>
      <c r="T51" s="116"/>
      <c r="V51" s="99" t="s">
        <v>462</v>
      </c>
    </row>
    <row r="52" customFormat="false" ht="15" hidden="false" customHeight="false" outlineLevel="0" collapsed="false">
      <c r="A52" s="116" t="s">
        <v>463</v>
      </c>
      <c r="B52" s="116" t="s">
        <v>309</v>
      </c>
      <c r="C52" s="116" t="s">
        <v>275</v>
      </c>
      <c r="E52" s="116"/>
      <c r="G52" s="116" t="s">
        <v>460</v>
      </c>
      <c r="H52" s="99" t="s">
        <v>450</v>
      </c>
      <c r="J52" s="116"/>
      <c r="L52" s="116"/>
      <c r="N52" s="116"/>
      <c r="P52" s="116"/>
      <c r="T52" s="116"/>
      <c r="V52" s="99" t="s">
        <v>464</v>
      </c>
    </row>
    <row r="53" customFormat="false" ht="15" hidden="false" customHeight="false" outlineLevel="0" collapsed="false">
      <c r="A53" s="116" t="s">
        <v>465</v>
      </c>
      <c r="B53" s="116" t="s">
        <v>309</v>
      </c>
      <c r="C53" s="116" t="s">
        <v>275</v>
      </c>
      <c r="E53" s="116"/>
      <c r="G53" s="116" t="s">
        <v>462</v>
      </c>
      <c r="H53" s="99" t="s">
        <v>450</v>
      </c>
      <c r="J53" s="116"/>
      <c r="L53" s="116"/>
      <c r="N53" s="116"/>
      <c r="P53" s="116"/>
      <c r="T53" s="116"/>
      <c r="V53" s="99" t="s">
        <v>466</v>
      </c>
    </row>
    <row r="54" customFormat="false" ht="15" hidden="false" customHeight="false" outlineLevel="0" collapsed="false">
      <c r="A54" s="116" t="s">
        <v>467</v>
      </c>
      <c r="B54" s="116" t="s">
        <v>309</v>
      </c>
      <c r="C54" s="116" t="s">
        <v>275</v>
      </c>
      <c r="E54" s="116"/>
      <c r="G54" s="116" t="s">
        <v>464</v>
      </c>
      <c r="H54" s="99" t="s">
        <v>450</v>
      </c>
      <c r="J54" s="116"/>
      <c r="L54" s="116"/>
      <c r="N54" s="116"/>
      <c r="P54" s="116"/>
      <c r="T54" s="116"/>
      <c r="V54" s="99" t="s">
        <v>305</v>
      </c>
    </row>
    <row r="55" customFormat="false" ht="15" hidden="false" customHeight="false" outlineLevel="0" collapsed="false">
      <c r="A55" s="116" t="s">
        <v>468</v>
      </c>
      <c r="B55" s="116" t="s">
        <v>309</v>
      </c>
      <c r="C55" s="116" t="s">
        <v>275</v>
      </c>
      <c r="E55" s="116"/>
      <c r="G55" s="116" t="s">
        <v>466</v>
      </c>
      <c r="H55" s="99" t="s">
        <v>450</v>
      </c>
      <c r="J55" s="116"/>
      <c r="L55" s="116"/>
      <c r="N55" s="116"/>
      <c r="P55" s="116"/>
      <c r="T55" s="116"/>
      <c r="V55" s="99" t="s">
        <v>469</v>
      </c>
    </row>
    <row r="56" customFormat="false" ht="15" hidden="false" customHeight="false" outlineLevel="0" collapsed="false">
      <c r="A56" s="116" t="s">
        <v>470</v>
      </c>
      <c r="B56" s="116" t="s">
        <v>309</v>
      </c>
      <c r="C56" s="116" t="s">
        <v>275</v>
      </c>
      <c r="E56" s="116"/>
      <c r="G56" s="117" t="s">
        <v>471</v>
      </c>
      <c r="H56" s="99" t="s">
        <v>472</v>
      </c>
      <c r="J56" s="116"/>
      <c r="L56" s="116"/>
      <c r="N56" s="116"/>
      <c r="P56" s="116"/>
      <c r="T56" s="116"/>
      <c r="V56" s="99" t="s">
        <v>473</v>
      </c>
    </row>
    <row r="57" customFormat="false" ht="15" hidden="false" customHeight="false" outlineLevel="0" collapsed="false">
      <c r="A57" s="116" t="s">
        <v>474</v>
      </c>
      <c r="B57" s="116" t="s">
        <v>309</v>
      </c>
      <c r="C57" s="116" t="s">
        <v>275</v>
      </c>
      <c r="E57" s="116"/>
      <c r="G57" s="116" t="s">
        <v>305</v>
      </c>
      <c r="H57" s="99" t="s">
        <v>472</v>
      </c>
      <c r="J57" s="116"/>
      <c r="L57" s="116"/>
      <c r="N57" s="116"/>
      <c r="P57" s="116"/>
      <c r="T57" s="116"/>
      <c r="V57" s="99" t="s">
        <v>475</v>
      </c>
    </row>
    <row r="58" customFormat="false" ht="15" hidden="false" customHeight="false" outlineLevel="0" collapsed="false">
      <c r="A58" s="116" t="s">
        <v>476</v>
      </c>
      <c r="B58" s="116" t="s">
        <v>317</v>
      </c>
      <c r="C58" s="116" t="s">
        <v>238</v>
      </c>
      <c r="E58" s="116"/>
      <c r="G58" s="116" t="s">
        <v>469</v>
      </c>
      <c r="H58" s="99" t="s">
        <v>472</v>
      </c>
      <c r="J58" s="116"/>
      <c r="L58" s="116"/>
      <c r="N58" s="116"/>
      <c r="P58" s="116"/>
      <c r="T58" s="116"/>
      <c r="V58" s="99" t="s">
        <v>477</v>
      </c>
    </row>
    <row r="59" customFormat="false" ht="15" hidden="false" customHeight="false" outlineLevel="0" collapsed="false">
      <c r="A59" s="116" t="s">
        <v>478</v>
      </c>
      <c r="B59" s="116" t="s">
        <v>317</v>
      </c>
      <c r="C59" s="116" t="s">
        <v>238</v>
      </c>
      <c r="E59" s="116"/>
      <c r="G59" s="116" t="s">
        <v>473</v>
      </c>
      <c r="H59" s="99" t="s">
        <v>472</v>
      </c>
      <c r="J59" s="116"/>
      <c r="L59" s="116"/>
      <c r="N59" s="116"/>
      <c r="P59" s="116"/>
      <c r="T59" s="116"/>
      <c r="V59" s="99" t="s">
        <v>380</v>
      </c>
    </row>
    <row r="60" customFormat="false" ht="15" hidden="false" customHeight="false" outlineLevel="0" collapsed="false">
      <c r="A60" s="116" t="s">
        <v>479</v>
      </c>
      <c r="B60" s="116" t="s">
        <v>317</v>
      </c>
      <c r="C60" s="116" t="s">
        <v>238</v>
      </c>
      <c r="E60" s="116"/>
      <c r="G60" s="116" t="s">
        <v>475</v>
      </c>
      <c r="H60" s="99" t="s">
        <v>472</v>
      </c>
      <c r="J60" s="116"/>
      <c r="L60" s="116"/>
      <c r="N60" s="116"/>
      <c r="V60" s="99" t="s">
        <v>480</v>
      </c>
    </row>
    <row r="61" customFormat="false" ht="15" hidden="false" customHeight="false" outlineLevel="0" collapsed="false">
      <c r="A61" s="116" t="s">
        <v>481</v>
      </c>
      <c r="B61" s="116" t="s">
        <v>317</v>
      </c>
      <c r="C61" s="116" t="s">
        <v>238</v>
      </c>
      <c r="E61" s="116"/>
      <c r="G61" s="116" t="s">
        <v>477</v>
      </c>
      <c r="H61" s="99" t="s">
        <v>472</v>
      </c>
      <c r="J61" s="116"/>
      <c r="L61" s="116"/>
      <c r="N61" s="116"/>
      <c r="V61" s="99" t="s">
        <v>482</v>
      </c>
    </row>
    <row r="62" customFormat="false" ht="15" hidden="false" customHeight="false" outlineLevel="0" collapsed="false">
      <c r="A62" s="116" t="s">
        <v>483</v>
      </c>
      <c r="B62" s="116" t="s">
        <v>317</v>
      </c>
      <c r="C62" s="116" t="s">
        <v>238</v>
      </c>
      <c r="E62" s="116"/>
      <c r="G62" s="116" t="s">
        <v>380</v>
      </c>
      <c r="H62" s="99" t="s">
        <v>472</v>
      </c>
      <c r="J62" s="116"/>
      <c r="L62" s="116"/>
      <c r="V62" s="99" t="s">
        <v>484</v>
      </c>
    </row>
    <row r="63" customFormat="false" ht="15" hidden="false" customHeight="false" outlineLevel="0" collapsed="false">
      <c r="A63" s="116" t="s">
        <v>485</v>
      </c>
      <c r="B63" s="116" t="s">
        <v>325</v>
      </c>
      <c r="C63" s="116" t="s">
        <v>275</v>
      </c>
      <c r="E63" s="116"/>
      <c r="G63" s="116" t="s">
        <v>480</v>
      </c>
      <c r="H63" s="99" t="s">
        <v>472</v>
      </c>
      <c r="J63" s="116"/>
      <c r="L63" s="116"/>
      <c r="V63" s="99" t="s">
        <v>486</v>
      </c>
    </row>
    <row r="64" customFormat="false" ht="15" hidden="false" customHeight="false" outlineLevel="0" collapsed="false">
      <c r="A64" s="116" t="s">
        <v>487</v>
      </c>
      <c r="B64" s="116" t="s">
        <v>325</v>
      </c>
      <c r="C64" s="116" t="s">
        <v>275</v>
      </c>
      <c r="E64" s="116"/>
      <c r="G64" s="116" t="s">
        <v>482</v>
      </c>
      <c r="H64" s="99" t="s">
        <v>472</v>
      </c>
      <c r="J64" s="116"/>
      <c r="L64" s="116"/>
      <c r="V64" s="99" t="s">
        <v>488</v>
      </c>
    </row>
    <row r="65" customFormat="false" ht="15" hidden="false" customHeight="false" outlineLevel="0" collapsed="false">
      <c r="A65" s="116" t="s">
        <v>489</v>
      </c>
      <c r="B65" s="116" t="s">
        <v>325</v>
      </c>
      <c r="C65" s="116" t="s">
        <v>275</v>
      </c>
      <c r="E65" s="116"/>
      <c r="G65" s="116" t="s">
        <v>484</v>
      </c>
      <c r="H65" s="99" t="s">
        <v>472</v>
      </c>
      <c r="J65" s="116"/>
      <c r="L65" s="116"/>
      <c r="V65" s="99" t="s">
        <v>490</v>
      </c>
    </row>
    <row r="66" customFormat="false" ht="15" hidden="false" customHeight="false" outlineLevel="0" collapsed="false">
      <c r="A66" s="116" t="s">
        <v>491</v>
      </c>
      <c r="B66" s="116" t="s">
        <v>325</v>
      </c>
      <c r="C66" s="116" t="s">
        <v>275</v>
      </c>
      <c r="G66" s="116" t="s">
        <v>486</v>
      </c>
      <c r="H66" s="99" t="s">
        <v>472</v>
      </c>
      <c r="J66" s="116"/>
      <c r="L66" s="116"/>
      <c r="V66" s="99" t="s">
        <v>492</v>
      </c>
    </row>
    <row r="67" customFormat="false" ht="15" hidden="false" customHeight="false" outlineLevel="0" collapsed="false">
      <c r="A67" s="116" t="s">
        <v>493</v>
      </c>
      <c r="B67" s="116" t="s">
        <v>252</v>
      </c>
      <c r="C67" s="116" t="s">
        <v>238</v>
      </c>
      <c r="G67" s="116" t="s">
        <v>488</v>
      </c>
      <c r="H67" s="99" t="s">
        <v>472</v>
      </c>
      <c r="J67" s="116"/>
      <c r="L67" s="116"/>
      <c r="V67" s="99" t="s">
        <v>494</v>
      </c>
    </row>
    <row r="68" customFormat="false" ht="15" hidden="false" customHeight="false" outlineLevel="0" collapsed="false">
      <c r="A68" s="116" t="s">
        <v>495</v>
      </c>
      <c r="B68" s="116" t="s">
        <v>252</v>
      </c>
      <c r="C68" s="116" t="s">
        <v>238</v>
      </c>
      <c r="G68" s="117" t="s">
        <v>496</v>
      </c>
      <c r="H68" s="99" t="s">
        <v>497</v>
      </c>
      <c r="J68" s="116"/>
      <c r="L68" s="116"/>
      <c r="V68" s="99" t="s">
        <v>498</v>
      </c>
    </row>
    <row r="69" customFormat="false" ht="15" hidden="false" customHeight="false" outlineLevel="0" collapsed="false">
      <c r="A69" s="116" t="s">
        <v>499</v>
      </c>
      <c r="B69" s="116" t="s">
        <v>252</v>
      </c>
      <c r="C69" s="116" t="s">
        <v>238</v>
      </c>
      <c r="G69" s="116" t="s">
        <v>490</v>
      </c>
      <c r="H69" s="99" t="s">
        <v>497</v>
      </c>
      <c r="J69" s="116"/>
      <c r="L69" s="116"/>
      <c r="V69" s="99" t="s">
        <v>500</v>
      </c>
    </row>
    <row r="70" customFormat="false" ht="15" hidden="false" customHeight="false" outlineLevel="0" collapsed="false">
      <c r="A70" s="116" t="s">
        <v>501</v>
      </c>
      <c r="B70" s="116" t="s">
        <v>252</v>
      </c>
      <c r="C70" s="116" t="s">
        <v>238</v>
      </c>
      <c r="G70" s="116" t="s">
        <v>492</v>
      </c>
      <c r="H70" s="99" t="s">
        <v>497</v>
      </c>
      <c r="J70" s="116"/>
      <c r="L70" s="116"/>
      <c r="V70" s="99" t="s">
        <v>502</v>
      </c>
    </row>
    <row r="71" customFormat="false" ht="15" hidden="false" customHeight="false" outlineLevel="0" collapsed="false">
      <c r="A71" s="116" t="s">
        <v>503</v>
      </c>
      <c r="B71" s="116" t="s">
        <v>252</v>
      </c>
      <c r="C71" s="116" t="s">
        <v>238</v>
      </c>
      <c r="G71" s="116" t="s">
        <v>494</v>
      </c>
      <c r="H71" s="99" t="s">
        <v>497</v>
      </c>
      <c r="J71" s="116"/>
      <c r="L71" s="116"/>
      <c r="V71" s="99" t="s">
        <v>504</v>
      </c>
    </row>
    <row r="72" customFormat="false" ht="15" hidden="false" customHeight="false" outlineLevel="0" collapsed="false">
      <c r="A72" s="116" t="s">
        <v>505</v>
      </c>
      <c r="B72" s="116" t="s">
        <v>340</v>
      </c>
      <c r="C72" s="116" t="s">
        <v>238</v>
      </c>
      <c r="G72" s="116" t="s">
        <v>498</v>
      </c>
      <c r="H72" s="99" t="s">
        <v>497</v>
      </c>
      <c r="J72" s="116"/>
      <c r="L72" s="116"/>
      <c r="V72" s="99" t="s">
        <v>506</v>
      </c>
    </row>
    <row r="73" customFormat="false" ht="15" hidden="false" customHeight="false" outlineLevel="0" collapsed="false">
      <c r="A73" s="116" t="s">
        <v>507</v>
      </c>
      <c r="B73" s="116" t="s">
        <v>340</v>
      </c>
      <c r="C73" s="116" t="s">
        <v>238</v>
      </c>
      <c r="G73" s="116" t="s">
        <v>500</v>
      </c>
      <c r="H73" s="99" t="s">
        <v>497</v>
      </c>
      <c r="J73" s="116"/>
      <c r="L73" s="116"/>
      <c r="V73" s="99" t="s">
        <v>508</v>
      </c>
    </row>
    <row r="74" customFormat="false" ht="15" hidden="false" customHeight="false" outlineLevel="0" collapsed="false">
      <c r="A74" s="116" t="s">
        <v>509</v>
      </c>
      <c r="B74" s="116" t="s">
        <v>348</v>
      </c>
      <c r="C74" s="116" t="s">
        <v>275</v>
      </c>
      <c r="G74" s="116" t="s">
        <v>502</v>
      </c>
      <c r="H74" s="99" t="s">
        <v>497</v>
      </c>
      <c r="J74" s="116"/>
      <c r="V74" s="99" t="s">
        <v>510</v>
      </c>
    </row>
    <row r="75" customFormat="false" ht="15" hidden="false" customHeight="false" outlineLevel="0" collapsed="false">
      <c r="A75" s="116" t="s">
        <v>511</v>
      </c>
      <c r="B75" s="116" t="s">
        <v>348</v>
      </c>
      <c r="C75" s="116" t="s">
        <v>238</v>
      </c>
      <c r="G75" s="116" t="s">
        <v>504</v>
      </c>
      <c r="H75" s="99" t="s">
        <v>497</v>
      </c>
      <c r="J75" s="116"/>
      <c r="V75" s="99" t="s">
        <v>512</v>
      </c>
    </row>
    <row r="76" customFormat="false" ht="15" hidden="false" customHeight="false" outlineLevel="0" collapsed="false">
      <c r="A76" s="116" t="s">
        <v>513</v>
      </c>
      <c r="B76" s="116" t="s">
        <v>354</v>
      </c>
      <c r="C76" s="116" t="s">
        <v>275</v>
      </c>
      <c r="G76" s="116" t="s">
        <v>506</v>
      </c>
      <c r="H76" s="99" t="s">
        <v>497</v>
      </c>
      <c r="J76" s="116"/>
      <c r="V76" s="99" t="s">
        <v>514</v>
      </c>
    </row>
    <row r="77" customFormat="false" ht="15" hidden="false" customHeight="false" outlineLevel="0" collapsed="false">
      <c r="A77" s="116" t="s">
        <v>515</v>
      </c>
      <c r="B77" s="116" t="s">
        <v>354</v>
      </c>
      <c r="C77" s="116" t="s">
        <v>275</v>
      </c>
      <c r="G77" s="116" t="s">
        <v>508</v>
      </c>
      <c r="H77" s="99" t="s">
        <v>497</v>
      </c>
      <c r="J77" s="116"/>
      <c r="V77" s="99" t="s">
        <v>516</v>
      </c>
    </row>
    <row r="78" customFormat="false" ht="15" hidden="false" customHeight="false" outlineLevel="0" collapsed="false">
      <c r="A78" s="116" t="s">
        <v>517</v>
      </c>
      <c r="B78" s="116" t="s">
        <v>354</v>
      </c>
      <c r="C78" s="116" t="s">
        <v>275</v>
      </c>
      <c r="G78" s="116" t="s">
        <v>510</v>
      </c>
      <c r="H78" s="99" t="s">
        <v>497</v>
      </c>
      <c r="J78" s="116"/>
      <c r="V78" s="99" t="s">
        <v>518</v>
      </c>
    </row>
    <row r="79" customFormat="false" ht="15" hidden="false" customHeight="false" outlineLevel="0" collapsed="false">
      <c r="A79" s="116"/>
      <c r="B79" s="116"/>
      <c r="C79" s="116"/>
      <c r="G79" s="116" t="s">
        <v>512</v>
      </c>
      <c r="H79" s="99" t="s">
        <v>497</v>
      </c>
      <c r="J79" s="116"/>
      <c r="V79" s="99" t="s">
        <v>519</v>
      </c>
    </row>
    <row r="80" customFormat="false" ht="15" hidden="false" customHeight="false" outlineLevel="0" collapsed="false">
      <c r="A80" s="116"/>
      <c r="B80" s="116"/>
      <c r="C80" s="116"/>
      <c r="G80" s="116" t="s">
        <v>514</v>
      </c>
      <c r="H80" s="99" t="s">
        <v>497</v>
      </c>
      <c r="J80" s="116"/>
      <c r="V80" s="99" t="s">
        <v>520</v>
      </c>
    </row>
    <row r="81" customFormat="false" ht="15" hidden="false" customHeight="false" outlineLevel="0" collapsed="false">
      <c r="A81" s="116"/>
      <c r="B81" s="116"/>
      <c r="C81" s="116"/>
      <c r="G81" s="116" t="s">
        <v>516</v>
      </c>
      <c r="H81" s="99" t="s">
        <v>497</v>
      </c>
      <c r="J81" s="116"/>
      <c r="V81" s="99" t="s">
        <v>521</v>
      </c>
    </row>
    <row r="82" customFormat="false" ht="15" hidden="false" customHeight="false" outlineLevel="0" collapsed="false">
      <c r="A82" s="116"/>
      <c r="B82" s="116"/>
      <c r="C82" s="116"/>
      <c r="G82" s="116" t="s">
        <v>518</v>
      </c>
      <c r="H82" s="99" t="s">
        <v>497</v>
      </c>
      <c r="J82" s="116"/>
      <c r="V82" s="99" t="s">
        <v>522</v>
      </c>
    </row>
    <row r="83" customFormat="false" ht="15" hidden="false" customHeight="false" outlineLevel="0" collapsed="false">
      <c r="A83" s="116"/>
      <c r="B83" s="116"/>
      <c r="C83" s="116"/>
      <c r="G83" s="116" t="s">
        <v>519</v>
      </c>
      <c r="H83" s="99" t="s">
        <v>497</v>
      </c>
      <c r="J83" s="116"/>
      <c r="V83" s="99" t="s">
        <v>523</v>
      </c>
    </row>
    <row r="84" customFormat="false" ht="15" hidden="false" customHeight="false" outlineLevel="0" collapsed="false">
      <c r="A84" s="116"/>
      <c r="B84" s="116"/>
      <c r="C84" s="116"/>
      <c r="G84" s="116" t="s">
        <v>520</v>
      </c>
      <c r="H84" s="99" t="s">
        <v>497</v>
      </c>
      <c r="J84" s="116"/>
      <c r="V84" s="99" t="s">
        <v>524</v>
      </c>
    </row>
    <row r="85" customFormat="false" ht="15" hidden="false" customHeight="false" outlineLevel="0" collapsed="false">
      <c r="A85" s="116"/>
      <c r="B85" s="116"/>
      <c r="C85" s="116"/>
      <c r="G85" s="116" t="s">
        <v>521</v>
      </c>
      <c r="H85" s="99" t="s">
        <v>497</v>
      </c>
      <c r="J85" s="116"/>
      <c r="V85" s="99" t="s">
        <v>525</v>
      </c>
    </row>
    <row r="86" customFormat="false" ht="15" hidden="false" customHeight="false" outlineLevel="0" collapsed="false">
      <c r="A86" s="116"/>
      <c r="B86" s="116"/>
      <c r="C86" s="116"/>
      <c r="G86" s="116" t="s">
        <v>522</v>
      </c>
      <c r="H86" s="99" t="s">
        <v>497</v>
      </c>
      <c r="J86" s="116"/>
      <c r="V86" s="99" t="s">
        <v>526</v>
      </c>
    </row>
    <row r="87" customFormat="false" ht="15" hidden="false" customHeight="false" outlineLevel="0" collapsed="false">
      <c r="A87" s="116"/>
      <c r="B87" s="116"/>
      <c r="C87" s="116"/>
      <c r="G87" s="116" t="s">
        <v>523</v>
      </c>
      <c r="H87" s="99" t="s">
        <v>497</v>
      </c>
      <c r="J87" s="116"/>
      <c r="V87" s="99" t="s">
        <v>527</v>
      </c>
    </row>
    <row r="88" customFormat="false" ht="15" hidden="false" customHeight="false" outlineLevel="0" collapsed="false">
      <c r="A88" s="116"/>
      <c r="B88" s="116"/>
      <c r="C88" s="116"/>
      <c r="G88" s="116" t="s">
        <v>524</v>
      </c>
      <c r="H88" s="99" t="s">
        <v>497</v>
      </c>
      <c r="J88" s="116"/>
      <c r="V88" s="99" t="s">
        <v>528</v>
      </c>
    </row>
    <row r="89" customFormat="false" ht="15" hidden="false" customHeight="false" outlineLevel="0" collapsed="false">
      <c r="A89" s="116"/>
      <c r="B89" s="116"/>
      <c r="C89" s="116"/>
      <c r="G89" s="116" t="s">
        <v>525</v>
      </c>
      <c r="H89" s="99" t="s">
        <v>497</v>
      </c>
      <c r="V89" s="99" t="s">
        <v>529</v>
      </c>
    </row>
    <row r="90" customFormat="false" ht="15" hidden="false" customHeight="false" outlineLevel="0" collapsed="false">
      <c r="A90" s="116"/>
      <c r="B90" s="116"/>
      <c r="C90" s="116"/>
      <c r="G90" s="116" t="s">
        <v>526</v>
      </c>
      <c r="H90" s="99" t="s">
        <v>497</v>
      </c>
      <c r="V90" s="99" t="s">
        <v>530</v>
      </c>
    </row>
    <row r="91" customFormat="false" ht="15" hidden="false" customHeight="false" outlineLevel="0" collapsed="false">
      <c r="A91" s="116"/>
      <c r="B91" s="116"/>
      <c r="C91" s="116"/>
      <c r="G91" s="116" t="s">
        <v>527</v>
      </c>
      <c r="H91" s="99" t="s">
        <v>497</v>
      </c>
      <c r="V91" s="99" t="s">
        <v>531</v>
      </c>
    </row>
    <row r="92" customFormat="false" ht="15" hidden="false" customHeight="false" outlineLevel="0" collapsed="false">
      <c r="A92" s="116"/>
      <c r="B92" s="116"/>
      <c r="C92" s="116"/>
      <c r="G92" s="116" t="s">
        <v>528</v>
      </c>
      <c r="H92" s="99" t="s">
        <v>497</v>
      </c>
      <c r="V92" s="99" t="s">
        <v>532</v>
      </c>
    </row>
    <row r="93" customFormat="false" ht="15" hidden="false" customHeight="false" outlineLevel="0" collapsed="false">
      <c r="A93" s="116"/>
      <c r="B93" s="116"/>
      <c r="C93" s="116"/>
      <c r="G93" s="116" t="s">
        <v>529</v>
      </c>
      <c r="H93" s="99" t="s">
        <v>497</v>
      </c>
      <c r="V93" s="99" t="s">
        <v>533</v>
      </c>
    </row>
    <row r="94" customFormat="false" ht="15" hidden="false" customHeight="false" outlineLevel="0" collapsed="false">
      <c r="A94" s="116"/>
      <c r="B94" s="116"/>
      <c r="C94" s="116"/>
      <c r="G94" s="116" t="s">
        <v>530</v>
      </c>
      <c r="H94" s="99" t="s">
        <v>497</v>
      </c>
      <c r="V94" s="99" t="s">
        <v>534</v>
      </c>
    </row>
    <row r="95" customFormat="false" ht="15" hidden="false" customHeight="false" outlineLevel="0" collapsed="false">
      <c r="A95" s="116"/>
      <c r="B95" s="116"/>
      <c r="C95" s="116"/>
      <c r="G95" s="116" t="s">
        <v>531</v>
      </c>
      <c r="H95" s="99" t="s">
        <v>497</v>
      </c>
      <c r="V95" s="99" t="s">
        <v>535</v>
      </c>
    </row>
    <row r="96" customFormat="false" ht="15" hidden="false" customHeight="false" outlineLevel="0" collapsed="false">
      <c r="A96" s="116"/>
      <c r="B96" s="116"/>
      <c r="C96" s="116"/>
      <c r="G96" s="117" t="s">
        <v>536</v>
      </c>
      <c r="H96" s="99" t="s">
        <v>537</v>
      </c>
      <c r="V96" s="99" t="s">
        <v>538</v>
      </c>
    </row>
    <row r="97" customFormat="false" ht="15" hidden="false" customHeight="false" outlineLevel="0" collapsed="false">
      <c r="A97" s="116"/>
      <c r="B97" s="116"/>
      <c r="C97" s="116"/>
      <c r="G97" s="116" t="s">
        <v>532</v>
      </c>
      <c r="H97" s="99" t="s">
        <v>537</v>
      </c>
      <c r="V97" s="99" t="s">
        <v>539</v>
      </c>
    </row>
    <row r="98" customFormat="false" ht="15" hidden="false" customHeight="false" outlineLevel="0" collapsed="false">
      <c r="A98" s="116"/>
      <c r="B98" s="116"/>
      <c r="C98" s="116"/>
      <c r="G98" s="116" t="s">
        <v>533</v>
      </c>
      <c r="H98" s="99" t="s">
        <v>537</v>
      </c>
      <c r="V98" s="99" t="s">
        <v>540</v>
      </c>
    </row>
    <row r="99" customFormat="false" ht="15" hidden="false" customHeight="false" outlineLevel="0" collapsed="false">
      <c r="A99" s="116"/>
      <c r="B99" s="116"/>
      <c r="C99" s="116"/>
      <c r="G99" s="116" t="s">
        <v>534</v>
      </c>
      <c r="H99" s="99" t="s">
        <v>537</v>
      </c>
      <c r="V99" s="99" t="s">
        <v>541</v>
      </c>
    </row>
    <row r="100" customFormat="false" ht="15" hidden="false" customHeight="false" outlineLevel="0" collapsed="false">
      <c r="A100" s="116"/>
      <c r="B100" s="116"/>
      <c r="C100" s="116"/>
      <c r="G100" s="116" t="s">
        <v>535</v>
      </c>
      <c r="H100" s="99" t="s">
        <v>537</v>
      </c>
      <c r="V100" s="99" t="s">
        <v>542</v>
      </c>
    </row>
    <row r="101" customFormat="false" ht="15" hidden="false" customHeight="false" outlineLevel="0" collapsed="false">
      <c r="A101" s="116"/>
      <c r="B101" s="116"/>
      <c r="C101" s="116"/>
      <c r="G101" s="116" t="s">
        <v>538</v>
      </c>
      <c r="H101" s="99" t="s">
        <v>537</v>
      </c>
      <c r="V101" s="99" t="s">
        <v>543</v>
      </c>
    </row>
    <row r="102" customFormat="false" ht="15" hidden="false" customHeight="false" outlineLevel="0" collapsed="false">
      <c r="A102" s="116"/>
      <c r="B102" s="116"/>
      <c r="C102" s="116"/>
      <c r="G102" s="116" t="s">
        <v>539</v>
      </c>
      <c r="H102" s="99" t="s">
        <v>537</v>
      </c>
      <c r="V102" s="99" t="s">
        <v>544</v>
      </c>
    </row>
    <row r="103" customFormat="false" ht="15" hidden="false" customHeight="false" outlineLevel="0" collapsed="false">
      <c r="A103" s="116"/>
      <c r="B103" s="116"/>
      <c r="C103" s="116"/>
      <c r="G103" s="116" t="s">
        <v>540</v>
      </c>
      <c r="H103" s="99" t="s">
        <v>537</v>
      </c>
      <c r="V103" s="99" t="s">
        <v>545</v>
      </c>
    </row>
    <row r="104" customFormat="false" ht="15" hidden="false" customHeight="false" outlineLevel="0" collapsed="false">
      <c r="A104" s="116"/>
      <c r="B104" s="116"/>
      <c r="C104" s="116"/>
      <c r="G104" s="116" t="s">
        <v>541</v>
      </c>
      <c r="H104" s="99" t="s">
        <v>537</v>
      </c>
      <c r="V104" s="99" t="s">
        <v>546</v>
      </c>
    </row>
    <row r="105" customFormat="false" ht="15" hidden="false" customHeight="false" outlineLevel="0" collapsed="false">
      <c r="A105" s="116"/>
      <c r="B105" s="116"/>
      <c r="C105" s="116"/>
      <c r="G105" s="116" t="s">
        <v>542</v>
      </c>
      <c r="H105" s="99" t="s">
        <v>537</v>
      </c>
      <c r="V105" s="99" t="s">
        <v>547</v>
      </c>
    </row>
    <row r="106" customFormat="false" ht="15" hidden="false" customHeight="false" outlineLevel="0" collapsed="false">
      <c r="A106" s="116"/>
      <c r="B106" s="116"/>
      <c r="C106" s="116"/>
      <c r="G106" s="117" t="s">
        <v>548</v>
      </c>
      <c r="H106" s="99" t="s">
        <v>549</v>
      </c>
      <c r="V106" s="99" t="s">
        <v>550</v>
      </c>
    </row>
    <row r="107" customFormat="false" ht="15" hidden="false" customHeight="false" outlineLevel="0" collapsed="false">
      <c r="A107" s="116"/>
      <c r="B107" s="116"/>
      <c r="C107" s="116"/>
      <c r="G107" s="116" t="s">
        <v>543</v>
      </c>
      <c r="H107" s="99" t="s">
        <v>549</v>
      </c>
      <c r="V107" s="99" t="s">
        <v>551</v>
      </c>
    </row>
    <row r="108" customFormat="false" ht="15" hidden="false" customHeight="false" outlineLevel="0" collapsed="false">
      <c r="A108" s="116"/>
      <c r="B108" s="116"/>
      <c r="C108" s="116"/>
      <c r="G108" s="116" t="s">
        <v>544</v>
      </c>
      <c r="H108" s="99" t="s">
        <v>549</v>
      </c>
      <c r="V108" s="99" t="s">
        <v>552</v>
      </c>
    </row>
    <row r="109" customFormat="false" ht="15" hidden="false" customHeight="false" outlineLevel="0" collapsed="false">
      <c r="A109" s="116"/>
      <c r="B109" s="116"/>
      <c r="C109" s="116"/>
      <c r="G109" s="116" t="s">
        <v>545</v>
      </c>
      <c r="H109" s="99" t="s">
        <v>549</v>
      </c>
      <c r="V109" s="99" t="s">
        <v>553</v>
      </c>
    </row>
    <row r="110" customFormat="false" ht="15" hidden="false" customHeight="false" outlineLevel="0" collapsed="false">
      <c r="A110" s="116"/>
      <c r="B110" s="116"/>
      <c r="C110" s="116"/>
      <c r="G110" s="116" t="s">
        <v>546</v>
      </c>
      <c r="H110" s="99" t="s">
        <v>549</v>
      </c>
      <c r="V110" s="99" t="s">
        <v>554</v>
      </c>
    </row>
    <row r="111" customFormat="false" ht="15" hidden="false" customHeight="false" outlineLevel="0" collapsed="false">
      <c r="A111" s="116"/>
      <c r="B111" s="116"/>
      <c r="C111" s="116"/>
      <c r="G111" s="116" t="s">
        <v>547</v>
      </c>
      <c r="H111" s="99" t="s">
        <v>549</v>
      </c>
      <c r="V111" s="99" t="s">
        <v>555</v>
      </c>
    </row>
    <row r="112" customFormat="false" ht="15" hidden="false" customHeight="false" outlineLevel="0" collapsed="false">
      <c r="A112" s="116"/>
      <c r="B112" s="116"/>
      <c r="C112" s="116"/>
      <c r="G112" s="116" t="s">
        <v>550</v>
      </c>
      <c r="H112" s="99" t="s">
        <v>549</v>
      </c>
      <c r="V112" s="99" t="s">
        <v>556</v>
      </c>
    </row>
    <row r="113" customFormat="false" ht="15" hidden="false" customHeight="false" outlineLevel="0" collapsed="false">
      <c r="A113" s="116"/>
      <c r="B113" s="116"/>
      <c r="C113" s="116"/>
      <c r="G113" s="116" t="s">
        <v>551</v>
      </c>
      <c r="H113" s="99" t="s">
        <v>549</v>
      </c>
      <c r="V113" s="99" t="s">
        <v>557</v>
      </c>
    </row>
    <row r="114" customFormat="false" ht="15" hidden="false" customHeight="false" outlineLevel="0" collapsed="false">
      <c r="A114" s="116"/>
      <c r="B114" s="116"/>
      <c r="C114" s="116"/>
      <c r="G114" s="116" t="s">
        <v>552</v>
      </c>
      <c r="H114" s="99" t="s">
        <v>549</v>
      </c>
      <c r="V114" s="99" t="s">
        <v>558</v>
      </c>
    </row>
    <row r="115" customFormat="false" ht="15" hidden="false" customHeight="false" outlineLevel="0" collapsed="false">
      <c r="A115" s="116"/>
      <c r="B115" s="116"/>
      <c r="C115" s="116"/>
      <c r="G115" s="116" t="s">
        <v>553</v>
      </c>
      <c r="H115" s="99" t="s">
        <v>549</v>
      </c>
      <c r="V115" s="99" t="s">
        <v>559</v>
      </c>
    </row>
    <row r="116" customFormat="false" ht="15" hidden="false" customHeight="false" outlineLevel="0" collapsed="false">
      <c r="A116" s="116"/>
      <c r="B116" s="116"/>
      <c r="C116" s="116"/>
      <c r="G116" s="116" t="s">
        <v>554</v>
      </c>
      <c r="H116" s="99" t="s">
        <v>549</v>
      </c>
      <c r="V116" s="99" t="s">
        <v>560</v>
      </c>
    </row>
    <row r="117" customFormat="false" ht="15" hidden="false" customHeight="false" outlineLevel="0" collapsed="false">
      <c r="A117" s="116"/>
      <c r="B117" s="116"/>
      <c r="C117" s="116"/>
      <c r="G117" s="116" t="s">
        <v>555</v>
      </c>
      <c r="H117" s="99" t="s">
        <v>549</v>
      </c>
      <c r="V117" s="99" t="s">
        <v>561</v>
      </c>
    </row>
    <row r="118" customFormat="false" ht="15" hidden="false" customHeight="false" outlineLevel="0" collapsed="false">
      <c r="A118" s="116"/>
      <c r="B118" s="116"/>
      <c r="C118" s="116"/>
      <c r="G118" s="116" t="s">
        <v>556</v>
      </c>
      <c r="H118" s="99" t="s">
        <v>549</v>
      </c>
      <c r="V118" s="99" t="s">
        <v>562</v>
      </c>
    </row>
    <row r="119" customFormat="false" ht="15" hidden="false" customHeight="false" outlineLevel="0" collapsed="false">
      <c r="G119" s="116" t="s">
        <v>557</v>
      </c>
      <c r="H119" s="99" t="s">
        <v>549</v>
      </c>
      <c r="V119" s="99" t="s">
        <v>563</v>
      </c>
    </row>
    <row r="120" customFormat="false" ht="15" hidden="false" customHeight="false" outlineLevel="0" collapsed="false">
      <c r="G120" s="116" t="s">
        <v>558</v>
      </c>
      <c r="H120" s="99" t="s">
        <v>549</v>
      </c>
      <c r="V120" s="99" t="s">
        <v>564</v>
      </c>
    </row>
    <row r="121" customFormat="false" ht="15" hidden="false" customHeight="false" outlineLevel="0" collapsed="false">
      <c r="G121" s="116" t="s">
        <v>559</v>
      </c>
      <c r="H121" s="99" t="s">
        <v>549</v>
      </c>
      <c r="V121" s="99" t="s">
        <v>565</v>
      </c>
    </row>
    <row r="122" customFormat="false" ht="15" hidden="false" customHeight="false" outlineLevel="0" collapsed="false">
      <c r="G122" s="116" t="s">
        <v>560</v>
      </c>
      <c r="H122" s="99" t="s">
        <v>549</v>
      </c>
      <c r="V122" s="99" t="s">
        <v>566</v>
      </c>
    </row>
    <row r="123" customFormat="false" ht="15" hidden="false" customHeight="false" outlineLevel="0" collapsed="false">
      <c r="G123" s="116" t="s">
        <v>561</v>
      </c>
      <c r="H123" s="99" t="s">
        <v>549</v>
      </c>
      <c r="V123" s="99" t="s">
        <v>567</v>
      </c>
    </row>
    <row r="124" customFormat="false" ht="15" hidden="false" customHeight="false" outlineLevel="0" collapsed="false">
      <c r="G124" s="116" t="s">
        <v>562</v>
      </c>
      <c r="H124" s="99" t="s">
        <v>549</v>
      </c>
      <c r="V124" s="99" t="s">
        <v>568</v>
      </c>
    </row>
    <row r="125" customFormat="false" ht="15" hidden="false" customHeight="false" outlineLevel="0" collapsed="false">
      <c r="G125" s="116" t="s">
        <v>563</v>
      </c>
      <c r="H125" s="99" t="s">
        <v>549</v>
      </c>
      <c r="V125" s="99" t="s">
        <v>569</v>
      </c>
    </row>
    <row r="126" customFormat="false" ht="15" hidden="false" customHeight="false" outlineLevel="0" collapsed="false">
      <c r="G126" s="116" t="s">
        <v>564</v>
      </c>
      <c r="H126" s="99" t="s">
        <v>549</v>
      </c>
      <c r="V126" s="99" t="s">
        <v>570</v>
      </c>
    </row>
    <row r="127" customFormat="false" ht="15" hidden="false" customHeight="false" outlineLevel="0" collapsed="false">
      <c r="G127" s="116" t="s">
        <v>565</v>
      </c>
      <c r="H127" s="99" t="s">
        <v>549</v>
      </c>
      <c r="V127" s="99" t="s">
        <v>571</v>
      </c>
    </row>
    <row r="128" customFormat="false" ht="15" hidden="false" customHeight="false" outlineLevel="0" collapsed="false">
      <c r="G128" s="116" t="s">
        <v>566</v>
      </c>
      <c r="H128" s="99" t="s">
        <v>549</v>
      </c>
      <c r="V128" s="99" t="s">
        <v>572</v>
      </c>
    </row>
    <row r="129" customFormat="false" ht="15" hidden="false" customHeight="false" outlineLevel="0" collapsed="false">
      <c r="G129" s="116" t="s">
        <v>567</v>
      </c>
      <c r="H129" s="99" t="s">
        <v>549</v>
      </c>
      <c r="V129" s="99" t="s">
        <v>573</v>
      </c>
    </row>
    <row r="130" customFormat="false" ht="15" hidden="false" customHeight="false" outlineLevel="0" collapsed="false">
      <c r="G130" s="117" t="s">
        <v>574</v>
      </c>
      <c r="H130" s="99" t="s">
        <v>575</v>
      </c>
      <c r="V130" s="99" t="s">
        <v>576</v>
      </c>
    </row>
    <row r="131" customFormat="false" ht="15" hidden="false" customHeight="false" outlineLevel="0" collapsed="false">
      <c r="G131" s="116" t="s">
        <v>568</v>
      </c>
      <c r="H131" s="99" t="s">
        <v>575</v>
      </c>
      <c r="V131" s="99" t="s">
        <v>577</v>
      </c>
    </row>
    <row r="132" customFormat="false" ht="15" hidden="false" customHeight="false" outlineLevel="0" collapsed="false">
      <c r="G132" s="116" t="s">
        <v>569</v>
      </c>
      <c r="H132" s="99" t="s">
        <v>575</v>
      </c>
      <c r="V132" s="99" t="s">
        <v>578</v>
      </c>
    </row>
    <row r="133" customFormat="false" ht="15" hidden="false" customHeight="false" outlineLevel="0" collapsed="false">
      <c r="G133" s="116" t="s">
        <v>570</v>
      </c>
      <c r="H133" s="99" t="s">
        <v>575</v>
      </c>
      <c r="V133" s="99" t="s">
        <v>579</v>
      </c>
    </row>
    <row r="134" customFormat="false" ht="15" hidden="false" customHeight="false" outlineLevel="0" collapsed="false">
      <c r="G134" s="116" t="s">
        <v>571</v>
      </c>
      <c r="H134" s="99" t="s">
        <v>575</v>
      </c>
      <c r="V134" s="99" t="s">
        <v>580</v>
      </c>
    </row>
    <row r="135" customFormat="false" ht="15" hidden="false" customHeight="false" outlineLevel="0" collapsed="false">
      <c r="G135" s="116" t="s">
        <v>572</v>
      </c>
      <c r="H135" s="99" t="s">
        <v>575</v>
      </c>
      <c r="V135" s="99" t="s">
        <v>581</v>
      </c>
    </row>
    <row r="136" customFormat="false" ht="15" hidden="false" customHeight="false" outlineLevel="0" collapsed="false">
      <c r="G136" s="116" t="s">
        <v>573</v>
      </c>
      <c r="H136" s="99" t="s">
        <v>575</v>
      </c>
      <c r="V136" s="99" t="s">
        <v>582</v>
      </c>
    </row>
    <row r="137" customFormat="false" ht="15" hidden="false" customHeight="false" outlineLevel="0" collapsed="false">
      <c r="G137" s="116" t="s">
        <v>576</v>
      </c>
      <c r="H137" s="99" t="s">
        <v>575</v>
      </c>
      <c r="V137" s="99" t="s">
        <v>583</v>
      </c>
    </row>
    <row r="138" customFormat="false" ht="15" hidden="false" customHeight="false" outlineLevel="0" collapsed="false">
      <c r="G138" s="116" t="s">
        <v>577</v>
      </c>
      <c r="H138" s="99" t="s">
        <v>575</v>
      </c>
      <c r="V138" s="99" t="s">
        <v>584</v>
      </c>
    </row>
    <row r="139" customFormat="false" ht="15" hidden="false" customHeight="false" outlineLevel="0" collapsed="false">
      <c r="G139" s="116" t="s">
        <v>578</v>
      </c>
      <c r="H139" s="99" t="s">
        <v>575</v>
      </c>
      <c r="V139" s="99" t="s">
        <v>585</v>
      </c>
    </row>
    <row r="140" customFormat="false" ht="15" hidden="false" customHeight="false" outlineLevel="0" collapsed="false">
      <c r="G140" s="116" t="s">
        <v>579</v>
      </c>
      <c r="H140" s="99" t="s">
        <v>575</v>
      </c>
      <c r="V140" s="99" t="s">
        <v>586</v>
      </c>
    </row>
    <row r="141" customFormat="false" ht="15" hidden="false" customHeight="false" outlineLevel="0" collapsed="false">
      <c r="G141" s="116" t="s">
        <v>580</v>
      </c>
      <c r="H141" s="99" t="s">
        <v>575</v>
      </c>
      <c r="V141" s="99" t="s">
        <v>587</v>
      </c>
    </row>
    <row r="142" customFormat="false" ht="15" hidden="false" customHeight="false" outlineLevel="0" collapsed="false">
      <c r="G142" s="116" t="s">
        <v>581</v>
      </c>
      <c r="H142" s="99" t="s">
        <v>575</v>
      </c>
      <c r="V142" s="99" t="s">
        <v>588</v>
      </c>
    </row>
    <row r="143" customFormat="false" ht="15" hidden="false" customHeight="false" outlineLevel="0" collapsed="false">
      <c r="G143" s="116" t="s">
        <v>582</v>
      </c>
      <c r="H143" s="99" t="s">
        <v>575</v>
      </c>
      <c r="V143" s="99" t="s">
        <v>589</v>
      </c>
    </row>
    <row r="144" customFormat="false" ht="15" hidden="false" customHeight="false" outlineLevel="0" collapsed="false">
      <c r="G144" s="116" t="s">
        <v>583</v>
      </c>
      <c r="H144" s="99" t="s">
        <v>575</v>
      </c>
      <c r="V144" s="99" t="s">
        <v>590</v>
      </c>
    </row>
    <row r="145" customFormat="false" ht="15" hidden="false" customHeight="false" outlineLevel="0" collapsed="false">
      <c r="G145" s="116" t="s">
        <v>584</v>
      </c>
      <c r="H145" s="99" t="s">
        <v>575</v>
      </c>
      <c r="V145" s="99" t="s">
        <v>591</v>
      </c>
    </row>
    <row r="146" customFormat="false" ht="15" hidden="false" customHeight="false" outlineLevel="0" collapsed="false">
      <c r="G146" s="116" t="s">
        <v>585</v>
      </c>
      <c r="H146" s="99" t="s">
        <v>575</v>
      </c>
      <c r="V146" s="99" t="s">
        <v>592</v>
      </c>
    </row>
    <row r="147" customFormat="false" ht="15" hidden="false" customHeight="false" outlineLevel="0" collapsed="false">
      <c r="G147" s="116" t="s">
        <v>586</v>
      </c>
      <c r="H147" s="99" t="s">
        <v>575</v>
      </c>
      <c r="V147" s="99" t="s">
        <v>593</v>
      </c>
    </row>
    <row r="148" customFormat="false" ht="15" hidden="false" customHeight="false" outlineLevel="0" collapsed="false">
      <c r="G148" s="116" t="s">
        <v>587</v>
      </c>
      <c r="H148" s="99" t="s">
        <v>575</v>
      </c>
      <c r="V148" s="99" t="s">
        <v>594</v>
      </c>
    </row>
    <row r="149" customFormat="false" ht="15" hidden="false" customHeight="false" outlineLevel="0" collapsed="false">
      <c r="G149" s="117" t="s">
        <v>595</v>
      </c>
      <c r="H149" s="99" t="s">
        <v>596</v>
      </c>
      <c r="V149" s="99" t="s">
        <v>597</v>
      </c>
    </row>
    <row r="150" customFormat="false" ht="15" hidden="false" customHeight="false" outlineLevel="0" collapsed="false">
      <c r="G150" s="116" t="s">
        <v>588</v>
      </c>
      <c r="H150" s="99" t="s">
        <v>596</v>
      </c>
      <c r="V150" s="99" t="s">
        <v>598</v>
      </c>
    </row>
    <row r="151" customFormat="false" ht="15" hidden="false" customHeight="false" outlineLevel="0" collapsed="false">
      <c r="G151" s="116" t="s">
        <v>589</v>
      </c>
      <c r="H151" s="99" t="s">
        <v>596</v>
      </c>
      <c r="V151" s="99" t="s">
        <v>599</v>
      </c>
    </row>
    <row r="152" customFormat="false" ht="15" hidden="false" customHeight="false" outlineLevel="0" collapsed="false">
      <c r="G152" s="116" t="s">
        <v>590</v>
      </c>
      <c r="H152" s="99" t="s">
        <v>596</v>
      </c>
      <c r="V152" s="99" t="s">
        <v>286</v>
      </c>
    </row>
    <row r="153" customFormat="false" ht="15" hidden="false" customHeight="false" outlineLevel="0" collapsed="false">
      <c r="G153" s="116" t="s">
        <v>591</v>
      </c>
      <c r="H153" s="99" t="s">
        <v>596</v>
      </c>
      <c r="V153" s="99" t="s">
        <v>354</v>
      </c>
    </row>
    <row r="154" customFormat="false" ht="15" hidden="false" customHeight="false" outlineLevel="0" collapsed="false">
      <c r="G154" s="116" t="s">
        <v>592</v>
      </c>
      <c r="H154" s="99" t="s">
        <v>596</v>
      </c>
      <c r="V154" s="99" t="s">
        <v>242</v>
      </c>
    </row>
    <row r="155" customFormat="false" ht="15" hidden="false" customHeight="false" outlineLevel="0" collapsed="false">
      <c r="G155" s="116" t="s">
        <v>593</v>
      </c>
      <c r="H155" s="99" t="s">
        <v>596</v>
      </c>
      <c r="V155" s="99" t="s">
        <v>250</v>
      </c>
    </row>
    <row r="156" customFormat="false" ht="15" hidden="false" customHeight="false" outlineLevel="0" collapsed="false">
      <c r="G156" s="116" t="s">
        <v>594</v>
      </c>
      <c r="H156" s="99" t="s">
        <v>596</v>
      </c>
      <c r="V156" s="99" t="s">
        <v>258</v>
      </c>
    </row>
    <row r="157" customFormat="false" ht="15" hidden="false" customHeight="false" outlineLevel="0" collapsed="false">
      <c r="G157" s="116" t="s">
        <v>597</v>
      </c>
      <c r="H157" s="99" t="s">
        <v>596</v>
      </c>
      <c r="V157" s="99" t="s">
        <v>267</v>
      </c>
    </row>
    <row r="158" customFormat="false" ht="15" hidden="false" customHeight="false" outlineLevel="0" collapsed="false">
      <c r="G158" s="116" t="s">
        <v>598</v>
      </c>
      <c r="H158" s="99" t="s">
        <v>596</v>
      </c>
      <c r="V158" s="99" t="s">
        <v>277</v>
      </c>
    </row>
    <row r="159" customFormat="false" ht="15" hidden="false" customHeight="false" outlineLevel="0" collapsed="false">
      <c r="G159" s="116" t="s">
        <v>599</v>
      </c>
      <c r="H159" s="99" t="s">
        <v>596</v>
      </c>
      <c r="V159" s="99" t="s">
        <v>255</v>
      </c>
    </row>
    <row r="160" customFormat="false" ht="15" hidden="false" customHeight="false" outlineLevel="0" collapsed="false">
      <c r="G160" s="116" t="s">
        <v>286</v>
      </c>
      <c r="H160" s="117" t="s">
        <v>600</v>
      </c>
      <c r="V160" s="99" t="s">
        <v>264</v>
      </c>
    </row>
    <row r="161" customFormat="false" ht="15" hidden="false" customHeight="false" outlineLevel="0" collapsed="false">
      <c r="G161" s="116" t="s">
        <v>354</v>
      </c>
      <c r="H161" s="117" t="s">
        <v>600</v>
      </c>
      <c r="V161" s="99" t="s">
        <v>282</v>
      </c>
    </row>
    <row r="162" customFormat="false" ht="15" hidden="false" customHeight="false" outlineLevel="0" collapsed="false">
      <c r="G162" s="116"/>
      <c r="V162" s="99" t="s">
        <v>305</v>
      </c>
    </row>
    <row r="163" customFormat="false" ht="15" hidden="false" customHeight="false" outlineLevel="0" collapsed="false">
      <c r="G163" s="116"/>
      <c r="V163" s="99" t="s">
        <v>313</v>
      </c>
    </row>
    <row r="164" customFormat="false" ht="15" hidden="false" customHeight="false" outlineLevel="0" collapsed="false">
      <c r="G164" s="116"/>
      <c r="V164" s="99" t="s">
        <v>321</v>
      </c>
    </row>
    <row r="165" customFormat="false" ht="15" hidden="false" customHeight="false" outlineLevel="0" collapsed="false">
      <c r="G165" s="116"/>
      <c r="V165" s="99" t="s">
        <v>329</v>
      </c>
    </row>
    <row r="166" customFormat="false" ht="15" hidden="false" customHeight="false" outlineLevel="0" collapsed="false">
      <c r="G166" s="116"/>
      <c r="V166" s="99" t="s">
        <v>336</v>
      </c>
    </row>
    <row r="167" customFormat="false" ht="15" hidden="false" customHeight="false" outlineLevel="0" collapsed="false">
      <c r="G167" s="116"/>
      <c r="V167" s="99" t="s">
        <v>344</v>
      </c>
    </row>
    <row r="168" customFormat="false" ht="15" hidden="false" customHeight="false" outlineLevel="0" collapsed="false">
      <c r="G168" s="116"/>
      <c r="V168" s="99" t="s">
        <v>351</v>
      </c>
    </row>
    <row r="169" customFormat="false" ht="15" hidden="false" customHeight="false" outlineLevel="0" collapsed="false">
      <c r="G169" s="116"/>
      <c r="V169" s="99" t="s">
        <v>358</v>
      </c>
    </row>
    <row r="170" customFormat="false" ht="15" hidden="false" customHeight="false" outlineLevel="0" collapsed="false">
      <c r="G170" s="116"/>
      <c r="V170" s="99" t="s">
        <v>364</v>
      </c>
    </row>
    <row r="171" customFormat="false" ht="15" hidden="false" customHeight="false" outlineLevel="0" collapsed="false">
      <c r="G171" s="116"/>
      <c r="V171" s="99" t="s">
        <v>369</v>
      </c>
    </row>
    <row r="172" customFormat="false" ht="15" hidden="false" customHeight="false" outlineLevel="0" collapsed="false">
      <c r="G172" s="116"/>
      <c r="V172" s="99" t="s">
        <v>374</v>
      </c>
    </row>
    <row r="173" customFormat="false" ht="15" hidden="false" customHeight="false" outlineLevel="0" collapsed="false">
      <c r="G173" s="116"/>
      <c r="V173" s="99" t="s">
        <v>379</v>
      </c>
    </row>
    <row r="174" customFormat="false" ht="15" hidden="false" customHeight="false" outlineLevel="0" collapsed="false">
      <c r="G174" s="116"/>
      <c r="V174" s="99" t="s">
        <v>383</v>
      </c>
    </row>
    <row r="175" customFormat="false" ht="15" hidden="false" customHeight="false" outlineLevel="0" collapsed="false">
      <c r="G175" s="116"/>
      <c r="V175" s="99" t="s">
        <v>386</v>
      </c>
    </row>
    <row r="176" customFormat="false" ht="15" hidden="false" customHeight="false" outlineLevel="0" collapsed="false">
      <c r="G176" s="116"/>
      <c r="V176" s="99" t="s">
        <v>389</v>
      </c>
    </row>
    <row r="177" customFormat="false" ht="15" hidden="false" customHeight="false" outlineLevel="0" collapsed="false">
      <c r="G177" s="116"/>
      <c r="V177" s="99" t="s">
        <v>393</v>
      </c>
    </row>
    <row r="178" customFormat="false" ht="15" hidden="false" customHeight="false" outlineLevel="0" collapsed="false">
      <c r="G178" s="116"/>
      <c r="V178" s="99" t="s">
        <v>397</v>
      </c>
    </row>
    <row r="179" customFormat="false" ht="15" hidden="false" customHeight="false" outlineLevel="0" collapsed="false">
      <c r="G179" s="116"/>
      <c r="V179" s="99" t="s">
        <v>401</v>
      </c>
    </row>
    <row r="180" customFormat="false" ht="15" hidden="false" customHeight="false" outlineLevel="0" collapsed="false">
      <c r="G180" s="116"/>
      <c r="V180" s="99" t="s">
        <v>405</v>
      </c>
    </row>
    <row r="181" customFormat="false" ht="15" hidden="false" customHeight="false" outlineLevel="0" collapsed="false">
      <c r="G181" s="116"/>
      <c r="V181" s="99" t="s">
        <v>409</v>
      </c>
    </row>
    <row r="182" customFormat="false" ht="15" hidden="false" customHeight="false" outlineLevel="0" collapsed="false">
      <c r="G182" s="116"/>
      <c r="V182" s="99" t="s">
        <v>413</v>
      </c>
    </row>
    <row r="183" customFormat="false" ht="15" hidden="false" customHeight="false" outlineLevel="0" collapsed="false">
      <c r="G183" s="116"/>
      <c r="V183" s="99" t="s">
        <v>416</v>
      </c>
    </row>
    <row r="184" customFormat="false" ht="15" hidden="false" customHeight="false" outlineLevel="0" collapsed="false">
      <c r="G184" s="116"/>
      <c r="V184" s="99" t="s">
        <v>419</v>
      </c>
    </row>
    <row r="185" customFormat="false" ht="15" hidden="false" customHeight="false" outlineLevel="0" collapsed="false">
      <c r="G185" s="116"/>
      <c r="V185" s="99" t="s">
        <v>422</v>
      </c>
    </row>
    <row r="186" customFormat="false" ht="15" hidden="false" customHeight="false" outlineLevel="0" collapsed="false">
      <c r="G186" s="116"/>
      <c r="V186" s="99" t="s">
        <v>425</v>
      </c>
    </row>
    <row r="187" customFormat="false" ht="15" hidden="false" customHeight="false" outlineLevel="0" collapsed="false">
      <c r="G187" s="116"/>
      <c r="V187" s="99" t="s">
        <v>428</v>
      </c>
    </row>
    <row r="188" customFormat="false" ht="15" hidden="false" customHeight="false" outlineLevel="0" collapsed="false">
      <c r="G188" s="116"/>
      <c r="V188" s="99" t="s">
        <v>431</v>
      </c>
    </row>
    <row r="189" customFormat="false" ht="15" hidden="false" customHeight="false" outlineLevel="0" collapsed="false">
      <c r="G189" s="116"/>
      <c r="V189" s="99" t="s">
        <v>433</v>
      </c>
    </row>
    <row r="190" customFormat="false" ht="15" hidden="false" customHeight="false" outlineLevel="0" collapsed="false">
      <c r="G190" s="116"/>
      <c r="V190" s="99" t="s">
        <v>435</v>
      </c>
    </row>
    <row r="191" customFormat="false" ht="15" hidden="false" customHeight="false" outlineLevel="0" collapsed="false">
      <c r="G191" s="116"/>
      <c r="V191" s="99" t="s">
        <v>437</v>
      </c>
    </row>
    <row r="192" customFormat="false" ht="15" hidden="false" customHeight="false" outlineLevel="0" collapsed="false">
      <c r="G192" s="116"/>
      <c r="V192" s="99" t="s">
        <v>440</v>
      </c>
    </row>
    <row r="193" customFormat="false" ht="15" hidden="false" customHeight="false" outlineLevel="0" collapsed="false">
      <c r="G193" s="116"/>
      <c r="V193" s="99" t="s">
        <v>443</v>
      </c>
    </row>
    <row r="194" customFormat="false" ht="15" hidden="false" customHeight="false" outlineLevel="0" collapsed="false">
      <c r="G194" s="116"/>
      <c r="V194" s="99" t="s">
        <v>446</v>
      </c>
    </row>
    <row r="195" customFormat="false" ht="15" hidden="false" customHeight="false" outlineLevel="0" collapsed="false">
      <c r="G195" s="116"/>
      <c r="V195" s="99" t="s">
        <v>451</v>
      </c>
    </row>
    <row r="196" customFormat="false" ht="15" hidden="false" customHeight="false" outlineLevel="0" collapsed="false">
      <c r="G196" s="116"/>
      <c r="V196" s="99" t="s">
        <v>453</v>
      </c>
    </row>
    <row r="197" customFormat="false" ht="15" hidden="false" customHeight="false" outlineLevel="0" collapsed="false">
      <c r="G197" s="116"/>
      <c r="V197" s="99" t="s">
        <v>354</v>
      </c>
    </row>
    <row r="198" customFormat="false" ht="15" hidden="false" customHeight="false" outlineLevel="0" collapsed="false">
      <c r="G198" s="116"/>
      <c r="V198" s="99" t="s">
        <v>243</v>
      </c>
    </row>
    <row r="199" customFormat="false" ht="15" hidden="false" customHeight="false" outlineLevel="0" collapsed="false">
      <c r="G199" s="116"/>
      <c r="V199" s="99" t="s">
        <v>251</v>
      </c>
    </row>
    <row r="200" customFormat="false" ht="15" hidden="false" customHeight="false" outlineLevel="0" collapsed="false">
      <c r="G200" s="116"/>
      <c r="V200" s="99" t="s">
        <v>259</v>
      </c>
    </row>
    <row r="201" customFormat="false" ht="15" hidden="false" customHeight="false" outlineLevel="0" collapsed="false">
      <c r="G201" s="116"/>
      <c r="V201" s="99" t="s">
        <v>268</v>
      </c>
    </row>
    <row r="202" customFormat="false" ht="15" hidden="false" customHeight="false" outlineLevel="0" collapsed="false">
      <c r="V202" s="99" t="s">
        <v>278</v>
      </c>
    </row>
    <row r="203" customFormat="false" ht="15" hidden="false" customHeight="false" outlineLevel="0" collapsed="false">
      <c r="V203" s="99" t="s">
        <v>285</v>
      </c>
    </row>
    <row r="204" customFormat="false" ht="15" hidden="false" customHeight="false" outlineLevel="0" collapsed="false">
      <c r="V204" s="99" t="s">
        <v>292</v>
      </c>
    </row>
    <row r="205" customFormat="false" ht="15" hidden="false" customHeight="false" outlineLevel="0" collapsed="false">
      <c r="V205" s="99" t="s">
        <v>299</v>
      </c>
    </row>
    <row r="206" customFormat="false" ht="15" hidden="false" customHeight="false" outlineLevel="0" collapsed="false">
      <c r="V206" s="99" t="s">
        <v>306</v>
      </c>
    </row>
    <row r="207" customFormat="false" ht="15" hidden="false" customHeight="false" outlineLevel="0" collapsed="false">
      <c r="V207" s="99" t="s">
        <v>314</v>
      </c>
    </row>
    <row r="208" customFormat="false" ht="15" hidden="false" customHeight="false" outlineLevel="0" collapsed="false">
      <c r="V208" s="99" t="s">
        <v>322</v>
      </c>
    </row>
    <row r="209" customFormat="false" ht="15" hidden="false" customHeight="false" outlineLevel="0" collapsed="false">
      <c r="V209" s="99" t="s">
        <v>330</v>
      </c>
    </row>
    <row r="210" customFormat="false" ht="15" hidden="false" customHeight="false" outlineLevel="0" collapsed="false">
      <c r="V210" s="99" t="s">
        <v>337</v>
      </c>
    </row>
    <row r="211" customFormat="false" ht="15" hidden="false" customHeight="false" outlineLevel="0" collapsed="false">
      <c r="V211" s="99" t="s">
        <v>345</v>
      </c>
    </row>
    <row r="212" customFormat="false" ht="15" hidden="false" customHeight="false" outlineLevel="0" collapsed="false">
      <c r="V212" s="99" t="s">
        <v>352</v>
      </c>
    </row>
    <row r="213" customFormat="false" ht="15" hidden="false" customHeight="false" outlineLevel="0" collapsed="false">
      <c r="V213" s="99" t="s">
        <v>359</v>
      </c>
    </row>
    <row r="214" customFormat="false" ht="15" hidden="false" customHeight="false" outlineLevel="0" collapsed="false">
      <c r="V214" s="99" t="s">
        <v>365</v>
      </c>
    </row>
    <row r="215" customFormat="false" ht="15" hidden="false" customHeight="false" outlineLevel="0" collapsed="false">
      <c r="V215" s="99" t="s">
        <v>370</v>
      </c>
    </row>
    <row r="216" customFormat="false" ht="15" hidden="false" customHeight="false" outlineLevel="0" collapsed="false">
      <c r="V216" s="99" t="s">
        <v>375</v>
      </c>
    </row>
    <row r="217" customFormat="false" ht="15" hidden="false" customHeight="false" outlineLevel="0" collapsed="false">
      <c r="V217" s="99" t="s">
        <v>380</v>
      </c>
    </row>
    <row r="218" customFormat="false" ht="15" hidden="false" customHeight="false" outlineLevel="0" collapsed="false">
      <c r="V218" s="99" t="s">
        <v>384</v>
      </c>
    </row>
    <row r="219" customFormat="false" ht="15" hidden="false" customHeight="false" outlineLevel="0" collapsed="false">
      <c r="V219" s="99" t="s">
        <v>387</v>
      </c>
    </row>
    <row r="220" customFormat="false" ht="15" hidden="false" customHeight="false" outlineLevel="0" collapsed="false">
      <c r="V220" s="99" t="s">
        <v>390</v>
      </c>
    </row>
    <row r="221" customFormat="false" ht="15" hidden="false" customHeight="false" outlineLevel="0" collapsed="false">
      <c r="V221" s="99" t="s">
        <v>394</v>
      </c>
    </row>
    <row r="222" customFormat="false" ht="15" hidden="false" customHeight="false" outlineLevel="0" collapsed="false">
      <c r="V222" s="99" t="s">
        <v>398</v>
      </c>
    </row>
    <row r="223" customFormat="false" ht="15" hidden="false" customHeight="false" outlineLevel="0" collapsed="false">
      <c r="V223" s="99" t="s">
        <v>402</v>
      </c>
    </row>
    <row r="224" customFormat="false" ht="15" hidden="false" customHeight="false" outlineLevel="0" collapsed="false">
      <c r="V224" s="99" t="s">
        <v>406</v>
      </c>
    </row>
    <row r="225" customFormat="false" ht="15" hidden="false" customHeight="false" outlineLevel="0" collapsed="false">
      <c r="V225" s="99" t="s">
        <v>410</v>
      </c>
    </row>
    <row r="226" customFormat="false" ht="15" hidden="false" customHeight="false" outlineLevel="0" collapsed="false">
      <c r="V226" s="99" t="s">
        <v>354</v>
      </c>
    </row>
  </sheetData>
  <sheetProtection sheet="true" scenarios="true" formatCells="false" formatColumns="false" formatRows="false" sort="false" autoFilter="false"/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Lists&amp;R&amp;8 Page &amp;P of &amp;N · printed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4"/>
    <col collapsed="false" customWidth="true" hidden="false" outlineLevel="0" max="5" min="5" style="0" width="3"/>
    <col collapsed="false" customWidth="true" hidden="false" outlineLevel="0" max="6" min="6" style="0" width="8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601</v>
      </c>
    </row>
    <row r="3" customFormat="false" ht="15" hidden="false" customHeight="false" outlineLevel="0" collapsed="false">
      <c r="A3" s="21" t="s">
        <v>602</v>
      </c>
    </row>
    <row r="4" customFormat="false" ht="18.75" hidden="false" customHeight="true" outlineLevel="0" collapsed="false">
      <c r="A4" s="56" t="s">
        <v>603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99" t="s">
        <v>150</v>
      </c>
      <c r="B5" s="118" t="n">
        <f aca="false">Setup!$B$16</f>
        <v>46296</v>
      </c>
      <c r="F5" s="21" t="s">
        <v>604</v>
      </c>
    </row>
    <row r="6" customFormat="false" ht="15" hidden="false" customHeight="false" outlineLevel="0" collapsed="false">
      <c r="A6" s="99" t="s">
        <v>605</v>
      </c>
      <c r="B6" s="119" t="n">
        <f aca="false">IF(Setup!$B$17="",EDATE(B5,240),Setup!$B$17)</f>
        <v>53601</v>
      </c>
      <c r="F6" s="21" t="s">
        <v>606</v>
      </c>
    </row>
    <row r="7" customFormat="false" ht="15" hidden="false" customHeight="false" outlineLevel="0" collapsed="false">
      <c r="A7" s="99" t="s">
        <v>607</v>
      </c>
      <c r="B7" s="120" t="str">
        <f aca="false">Setup!$B$7</f>
        <v>Yes</v>
      </c>
      <c r="F7" s="21" t="s">
        <v>604</v>
      </c>
    </row>
    <row r="8" customFormat="false" ht="15" hidden="false" customHeight="false" outlineLevel="0" collapsed="false">
      <c r="A8" s="99" t="s">
        <v>608</v>
      </c>
      <c r="B8" s="121" t="n">
        <f aca="false">Accounts!C18</f>
        <v>0</v>
      </c>
      <c r="F8" s="21" t="s">
        <v>609</v>
      </c>
    </row>
    <row r="9" customFormat="false" ht="15" hidden="false" customHeight="false" outlineLevel="0" collapsed="false">
      <c r="A9" s="99" t="s">
        <v>610</v>
      </c>
      <c r="B9" s="122" t="n">
        <f aca="true">TODAY()</f>
        <v>46308</v>
      </c>
    </row>
    <row r="10" customFormat="false" ht="15" hidden="false" customHeight="false" outlineLevel="0" collapsed="false">
      <c r="A10" s="99" t="s">
        <v>611</v>
      </c>
      <c r="B10" s="123" t="n">
        <f aca="false">IF(Setup!$B$17="",0,MAX(0,B6-B9))</f>
        <v>0</v>
      </c>
    </row>
    <row r="12" customFormat="false" ht="18.75" hidden="false" customHeight="true" outlineLevel="0" collapsed="false">
      <c r="A12" s="56" t="s">
        <v>612</v>
      </c>
      <c r="B12" s="3"/>
      <c r="C12" s="3"/>
      <c r="D12" s="3"/>
      <c r="E12" s="3"/>
      <c r="F12" s="3"/>
    </row>
    <row r="13" customFormat="false" ht="15" hidden="false" customHeight="false" outlineLevel="0" collapsed="false">
      <c r="A13" s="99" t="s">
        <v>613</v>
      </c>
      <c r="B13" s="124"/>
      <c r="F13" s="21" t="s">
        <v>614</v>
      </c>
    </row>
    <row r="14" customFormat="false" ht="15" hidden="false" customHeight="false" outlineLevel="0" collapsed="false">
      <c r="A14" s="99" t="s">
        <v>142</v>
      </c>
      <c r="B14" s="125" t="n">
        <f aca="false">Setup!$B$10</f>
        <v>0</v>
      </c>
      <c r="F14" s="21" t="s">
        <v>604</v>
      </c>
    </row>
    <row r="15" customFormat="false" ht="15" hidden="false" customHeight="false" outlineLevel="0" collapsed="false">
      <c r="A15" s="99" t="s">
        <v>144</v>
      </c>
      <c r="B15" s="123" t="n">
        <f aca="false">Setup!$B$11</f>
        <v>26</v>
      </c>
      <c r="F15" s="21" t="s">
        <v>604</v>
      </c>
    </row>
    <row r="16" customFormat="false" ht="15" hidden="false" customHeight="false" outlineLevel="0" collapsed="false">
      <c r="A16" s="99" t="s">
        <v>615</v>
      </c>
      <c r="B16" s="126" t="n">
        <f aca="false">N(B14)*B15/12</f>
        <v>0</v>
      </c>
    </row>
    <row r="17" customFormat="false" ht="15" hidden="false" customHeight="false" outlineLevel="0" collapsed="false">
      <c r="A17" s="99" t="s">
        <v>616</v>
      </c>
      <c r="B17" s="127" t="n">
        <f aca="false">Setup!$B$56</f>
        <v>0.34</v>
      </c>
      <c r="F17" s="21" t="s">
        <v>604</v>
      </c>
    </row>
    <row r="19" customFormat="false" ht="18.75" hidden="false" customHeight="true" outlineLevel="0" collapsed="false">
      <c r="A19" s="56" t="s">
        <v>617</v>
      </c>
      <c r="B19" s="3"/>
      <c r="C19" s="3"/>
      <c r="D19" s="3"/>
      <c r="E19" s="3"/>
      <c r="F19" s="3"/>
    </row>
    <row r="20" customFormat="false" ht="15" hidden="false" customHeight="false" outlineLevel="0" collapsed="false">
      <c r="A20" s="99" t="s">
        <v>618</v>
      </c>
      <c r="B20" s="125" t="n">
        <f aca="false">N(Setup!$B$54)</f>
        <v>0</v>
      </c>
      <c r="F20" s="21" t="s">
        <v>604</v>
      </c>
    </row>
    <row r="21" customFormat="false" ht="15" hidden="false" customHeight="false" outlineLevel="0" collapsed="false">
      <c r="A21" s="99" t="s">
        <v>619</v>
      </c>
      <c r="B21" s="118" t="n">
        <f aca="false">IF(Setup!$B$55="",EDATE(DATE(YEAR(B6),MONTH(B6),1),1),Setup!$B$55)</f>
        <v>53632</v>
      </c>
      <c r="F21" s="21" t="s">
        <v>620</v>
      </c>
    </row>
    <row r="22" customFormat="false" ht="15" hidden="false" customHeight="false" outlineLevel="0" collapsed="false">
      <c r="A22" s="99" t="s">
        <v>621</v>
      </c>
      <c r="B22" s="126" t="n">
        <f aca="false">B20*(1-B17)</f>
        <v>0</v>
      </c>
    </row>
    <row r="23" customFormat="false" ht="15" hidden="false" customHeight="false" outlineLevel="0" collapsed="false">
      <c r="A23" s="99" t="s">
        <v>622</v>
      </c>
      <c r="B23" s="125" t="n">
        <f aca="false">N(Setup!$B$50)</f>
        <v>0</v>
      </c>
      <c r="F23" s="21" t="s">
        <v>604</v>
      </c>
    </row>
    <row r="24" customFormat="false" ht="15" hidden="false" customHeight="false" outlineLevel="0" collapsed="false">
      <c r="A24" s="99" t="s">
        <v>623</v>
      </c>
      <c r="B24" s="127" t="n">
        <f aca="false">Setup!$B$53</f>
        <v>0.3</v>
      </c>
    </row>
    <row r="25" customFormat="false" ht="15" hidden="false" customHeight="false" outlineLevel="0" collapsed="false">
      <c r="A25" s="99" t="s">
        <v>624</v>
      </c>
      <c r="B25" s="118" t="n">
        <f aca="false">IF(Setup!$B$52="",EDATE(DATE(YEAR(B6),MONTH(B6),1),1),Setup!$B$52)</f>
        <v>53632</v>
      </c>
    </row>
    <row r="26" customFormat="false" ht="15" hidden="false" customHeight="false" outlineLevel="0" collapsed="false">
      <c r="A26" s="99" t="s">
        <v>625</v>
      </c>
      <c r="B26" s="123" t="n">
        <f aca="false">MAX(1,N(Setup!$B$51))</f>
        <v>1</v>
      </c>
    </row>
    <row r="27" customFormat="false" ht="15" hidden="false" customHeight="false" outlineLevel="0" collapsed="false">
      <c r="A27" s="99" t="s">
        <v>626</v>
      </c>
      <c r="B27" s="126" t="n">
        <f aca="false">B23*(1-B24)</f>
        <v>0</v>
      </c>
    </row>
    <row r="28" customFormat="false" ht="15" hidden="false" customHeight="false" outlineLevel="0" collapsed="false">
      <c r="A28" s="99" t="s">
        <v>212</v>
      </c>
      <c r="B28" s="121" t="n">
        <f aca="false">N(Setup!$B$57)</f>
        <v>0</v>
      </c>
      <c r="F28" s="21" t="s">
        <v>604</v>
      </c>
    </row>
    <row r="29" customFormat="false" ht="15" hidden="false" customHeight="false" outlineLevel="0" collapsed="false">
      <c r="A29" s="99" t="s">
        <v>214</v>
      </c>
      <c r="B29" s="123" t="n">
        <f aca="false">N(Setup!$B$58)</f>
        <v>0</v>
      </c>
    </row>
    <row r="30" customFormat="false" ht="15" hidden="false" customHeight="false" outlineLevel="0" collapsed="false">
      <c r="A30" s="99" t="s">
        <v>627</v>
      </c>
      <c r="B30" s="127" t="n">
        <f aca="false">Setup!$B$59</f>
        <v>0.1</v>
      </c>
    </row>
    <row r="31" customFormat="false" ht="15" hidden="false" customHeight="false" outlineLevel="0" collapsed="false">
      <c r="A31" s="99" t="s">
        <v>628</v>
      </c>
      <c r="B31" s="128" t="n">
        <f aca="false">EDATE(B25,B26)</f>
        <v>53662</v>
      </c>
      <c r="F31" s="21" t="s">
        <v>629</v>
      </c>
    </row>
    <row r="32" customFormat="false" ht="15" hidden="false" customHeight="false" outlineLevel="0" collapsed="false">
      <c r="A32" s="99" t="s">
        <v>630</v>
      </c>
      <c r="B32" s="126" t="n">
        <f aca="false">B28*52/12*(1-B30)</f>
        <v>0</v>
      </c>
    </row>
    <row r="34" customFormat="false" ht="18.75" hidden="false" customHeight="true" outlineLevel="0" collapsed="false">
      <c r="A34" s="56" t="s">
        <v>631</v>
      </c>
      <c r="B34" s="3"/>
      <c r="C34" s="3"/>
      <c r="D34" s="3"/>
      <c r="E34" s="3"/>
      <c r="F34" s="3"/>
    </row>
    <row r="35" customFormat="false" ht="15" hidden="false" customHeight="false" outlineLevel="0" collapsed="false">
      <c r="A35" s="99" t="s">
        <v>632</v>
      </c>
      <c r="B35" s="116"/>
      <c r="F35" s="21" t="s">
        <v>633</v>
      </c>
    </row>
    <row r="36" customFormat="false" ht="15" hidden="false" customHeight="false" outlineLevel="0" collapsed="false">
      <c r="A36" s="99" t="s">
        <v>634</v>
      </c>
      <c r="B36" s="125" t="n">
        <f aca="false">N(Setup!$B$60)</f>
        <v>0</v>
      </c>
      <c r="F36" s="21" t="s">
        <v>604</v>
      </c>
    </row>
    <row r="37" customFormat="false" ht="15" hidden="false" customHeight="false" outlineLevel="0" collapsed="false">
      <c r="A37" s="99" t="s">
        <v>635</v>
      </c>
      <c r="B37" s="124" t="n">
        <v>0</v>
      </c>
      <c r="F37" s="21" t="s">
        <v>636</v>
      </c>
    </row>
    <row r="38" customFormat="false" ht="15" hidden="false" customHeight="false" outlineLevel="0" collapsed="false">
      <c r="A38" s="99" t="s">
        <v>637</v>
      </c>
      <c r="B38" s="124" t="n">
        <v>0</v>
      </c>
    </row>
    <row r="39" customFormat="false" ht="15" hidden="false" customHeight="false" outlineLevel="0" collapsed="false">
      <c r="A39" s="99" t="s">
        <v>638</v>
      </c>
      <c r="B39" s="129" t="n">
        <v>0</v>
      </c>
    </row>
    <row r="40" customFormat="false" ht="15" hidden="false" customHeight="false" outlineLevel="0" collapsed="false">
      <c r="A40" s="99" t="s">
        <v>639</v>
      </c>
      <c r="B40" s="130" t="n">
        <f aca="false">(B36+B37)*(1+B39)+B38</f>
        <v>0</v>
      </c>
      <c r="F40" s="21" t="s">
        <v>640</v>
      </c>
    </row>
    <row r="41" customFormat="false" ht="15" hidden="false" customHeight="false" outlineLevel="0" collapsed="false">
      <c r="A41" s="99" t="s">
        <v>641</v>
      </c>
      <c r="B41" s="125" t="n">
        <f aca="false">IF(Setup!$B$61="",B40,Setup!$B$61)</f>
        <v>0</v>
      </c>
    </row>
    <row r="43" customFormat="false" ht="18.75" hidden="false" customHeight="true" outlineLevel="0" collapsed="false">
      <c r="A43" s="56" t="s">
        <v>642</v>
      </c>
      <c r="B43" s="3"/>
      <c r="C43" s="3"/>
      <c r="D43" s="3"/>
      <c r="E43" s="3"/>
      <c r="F43" s="3"/>
    </row>
    <row r="44" customFormat="false" ht="15" hidden="false" customHeight="false" outlineLevel="0" collapsed="false">
      <c r="A44" s="99" t="s">
        <v>643</v>
      </c>
      <c r="B44" s="121" t="n">
        <f aca="false">N(Setup!$B$13)</f>
        <v>0</v>
      </c>
      <c r="F44" s="21" t="s">
        <v>604</v>
      </c>
    </row>
    <row r="45" customFormat="false" ht="15" hidden="false" customHeight="false" outlineLevel="0" collapsed="false">
      <c r="A45" s="99" t="s">
        <v>644</v>
      </c>
      <c r="B45" s="131"/>
      <c r="F45" s="21" t="s">
        <v>645</v>
      </c>
    </row>
    <row r="46" customFormat="false" ht="15" hidden="false" customHeight="false" outlineLevel="0" collapsed="false">
      <c r="A46" s="99" t="s">
        <v>646</v>
      </c>
      <c r="B46" s="132" t="n">
        <v>0</v>
      </c>
    </row>
    <row r="47" customFormat="false" ht="15" hidden="false" customHeight="false" outlineLevel="0" collapsed="false">
      <c r="A47" s="99" t="s">
        <v>647</v>
      </c>
      <c r="B47" s="131"/>
    </row>
    <row r="48" customFormat="false" ht="15" hidden="false" customHeight="false" outlineLevel="0" collapsed="false">
      <c r="A48" s="99" t="s">
        <v>648</v>
      </c>
      <c r="B48" s="131"/>
    </row>
    <row r="49" customFormat="false" ht="15" hidden="false" customHeight="false" outlineLevel="0" collapsed="false">
      <c r="A49" s="99" t="s">
        <v>649</v>
      </c>
      <c r="B49" s="124" t="n">
        <v>0</v>
      </c>
      <c r="F49" s="21" t="s">
        <v>650</v>
      </c>
    </row>
    <row r="50" customFormat="false" ht="15" hidden="false" customHeight="false" outlineLevel="0" collapsed="false">
      <c r="A50" s="99" t="s">
        <v>651</v>
      </c>
      <c r="B50" s="129" t="n">
        <v>0.85</v>
      </c>
    </row>
    <row r="52" customFormat="false" ht="18.75" hidden="false" customHeight="true" outlineLevel="0" collapsed="false">
      <c r="A52" s="56" t="s">
        <v>652</v>
      </c>
      <c r="B52" s="3"/>
      <c r="C52" s="3"/>
      <c r="D52" s="3"/>
      <c r="E52" s="3"/>
      <c r="F52" s="3"/>
    </row>
    <row r="53" customFormat="false" ht="15" hidden="false" customHeight="false" outlineLevel="0" collapsed="false">
      <c r="A53" s="99" t="s">
        <v>653</v>
      </c>
      <c r="B53" s="121" t="n">
        <f aca="false">'One-Time'!C39</f>
        <v>0</v>
      </c>
      <c r="F53" s="21" t="s">
        <v>654</v>
      </c>
    </row>
    <row r="54" customFormat="false" ht="15" hidden="false" customHeight="false" outlineLevel="0" collapsed="false">
      <c r="A54" s="99" t="s">
        <v>655</v>
      </c>
      <c r="B54" s="129" t="n">
        <v>1</v>
      </c>
      <c r="F54" s="21" t="s">
        <v>656</v>
      </c>
    </row>
    <row r="56" customFormat="false" ht="18.75" hidden="false" customHeight="true" outlineLevel="0" collapsed="false">
      <c r="A56" s="56" t="s">
        <v>657</v>
      </c>
      <c r="B56" s="3"/>
      <c r="C56" s="3"/>
      <c r="D56" s="3"/>
      <c r="E56" s="3"/>
      <c r="F56" s="3"/>
    </row>
    <row r="57" customFormat="false" ht="15" hidden="false" customHeight="false" outlineLevel="0" collapsed="false">
      <c r="A57" s="99" t="s">
        <v>154</v>
      </c>
      <c r="B57" s="123" t="n">
        <f aca="false">Setup!$B$18</f>
        <v>6</v>
      </c>
      <c r="F57" s="21" t="s">
        <v>604</v>
      </c>
    </row>
    <row r="58" customFormat="false" ht="15" hidden="false" customHeight="false" outlineLevel="0" collapsed="false">
      <c r="A58" s="99" t="s">
        <v>658</v>
      </c>
      <c r="B58" s="121" t="n">
        <f aca="false">N(Setup!$B$19)</f>
        <v>0</v>
      </c>
      <c r="F58" s="21" t="s">
        <v>604</v>
      </c>
    </row>
    <row r="60" customFormat="false" ht="18.75" hidden="false" customHeight="true" outlineLevel="0" collapsed="false">
      <c r="A60" s="56" t="s">
        <v>659</v>
      </c>
      <c r="B60" s="3"/>
      <c r="C60" s="3"/>
      <c r="D60" s="3"/>
      <c r="E60" s="3"/>
      <c r="F60" s="3"/>
    </row>
    <row r="61" customFormat="false" ht="15" hidden="false" customHeight="false" outlineLevel="0" collapsed="false">
      <c r="B61" s="133" t="s">
        <v>111</v>
      </c>
      <c r="C61" s="133" t="s">
        <v>112</v>
      </c>
      <c r="D61" s="133" t="s">
        <v>113</v>
      </c>
    </row>
    <row r="62" customFormat="false" ht="15" hidden="false" customHeight="false" outlineLevel="0" collapsed="false">
      <c r="A62" s="99" t="s">
        <v>660</v>
      </c>
      <c r="B62" s="134" t="n">
        <v>3</v>
      </c>
      <c r="C62" s="134" t="n">
        <v>6</v>
      </c>
      <c r="D62" s="134" t="n">
        <v>0</v>
      </c>
      <c r="F62" s="21" t="s">
        <v>661</v>
      </c>
    </row>
    <row r="63" customFormat="false" ht="15" hidden="false" customHeight="false" outlineLevel="0" collapsed="false">
      <c r="A63" s="99" t="s">
        <v>662</v>
      </c>
      <c r="B63" s="135"/>
      <c r="C63" s="135"/>
      <c r="D63" s="135"/>
      <c r="F63" s="21" t="s">
        <v>663</v>
      </c>
    </row>
    <row r="64" customFormat="false" ht="15" hidden="false" customHeight="false" outlineLevel="0" collapsed="false">
      <c r="A64" s="99" t="s">
        <v>664</v>
      </c>
      <c r="B64" s="129" t="n">
        <v>0.72</v>
      </c>
      <c r="C64" s="129" t="n">
        <v>0.72</v>
      </c>
      <c r="D64" s="129" t="n">
        <v>0.72</v>
      </c>
    </row>
    <row r="65" customFormat="false" ht="15" hidden="false" customHeight="false" outlineLevel="0" collapsed="false">
      <c r="A65" s="99" t="s">
        <v>665</v>
      </c>
      <c r="B65" s="136"/>
      <c r="C65" s="136"/>
      <c r="D65" s="136"/>
      <c r="F65" s="21" t="s">
        <v>663</v>
      </c>
    </row>
    <row r="66" customFormat="false" ht="15" hidden="false" customHeight="false" outlineLevel="0" collapsed="false">
      <c r="A66" s="99" t="s">
        <v>666</v>
      </c>
      <c r="B66" s="137" t="n">
        <v>0</v>
      </c>
      <c r="C66" s="137" t="n">
        <v>0</v>
      </c>
      <c r="D66" s="137" t="n">
        <v>0</v>
      </c>
    </row>
    <row r="67" customFormat="false" ht="15" hidden="false" customHeight="false" outlineLevel="0" collapsed="false">
      <c r="A67" s="99" t="s">
        <v>667</v>
      </c>
      <c r="B67" s="116" t="s">
        <v>668</v>
      </c>
      <c r="C67" s="116" t="s">
        <v>669</v>
      </c>
      <c r="D67" s="116" t="s">
        <v>670</v>
      </c>
      <c r="F67" s="21" t="s">
        <v>671</v>
      </c>
    </row>
    <row r="68" customFormat="false" ht="15" hidden="false" customHeight="false" outlineLevel="0" collapsed="false">
      <c r="A68" s="99" t="s">
        <v>672</v>
      </c>
      <c r="B68" s="138" t="n">
        <f aca="false">MATCH(B67,{"Current","Trimmed","Lean"},0)</f>
        <v>1</v>
      </c>
      <c r="C68" s="138" t="n">
        <f aca="false">MATCH(C67,{"Current","Trimmed","Lean"},0)</f>
        <v>2</v>
      </c>
      <c r="D68" s="138" t="n">
        <f aca="false">MATCH(D67,{"Current","Trimmed","Lean"},0)</f>
        <v>3</v>
      </c>
    </row>
    <row r="69" customFormat="false" ht="15" hidden="false" customHeight="false" outlineLevel="0" collapsed="false">
      <c r="A69" s="99" t="s">
        <v>673</v>
      </c>
      <c r="B69" s="129" t="n">
        <v>0</v>
      </c>
      <c r="C69" s="129" t="n">
        <v>0</v>
      </c>
      <c r="D69" s="129" t="n">
        <v>0.15</v>
      </c>
      <c r="F69" s="21" t="s">
        <v>674</v>
      </c>
    </row>
    <row r="71" customFormat="false" ht="18.75" hidden="false" customHeight="true" outlineLevel="0" collapsed="false">
      <c r="A71" s="56" t="s">
        <v>675</v>
      </c>
      <c r="B71" s="3"/>
      <c r="C71" s="3"/>
      <c r="D71" s="3"/>
      <c r="E71" s="3"/>
      <c r="F71" s="3"/>
    </row>
    <row r="72" customFormat="false" ht="15" hidden="false" customHeight="false" outlineLevel="0" collapsed="false">
      <c r="A72" s="99" t="s">
        <v>676</v>
      </c>
      <c r="B72" s="136"/>
      <c r="F72" s="21" t="s">
        <v>677</v>
      </c>
    </row>
    <row r="73" customFormat="false" ht="15" hidden="false" customHeight="false" outlineLevel="0" collapsed="false">
      <c r="A73" s="99" t="s">
        <v>678</v>
      </c>
      <c r="B73" s="129" t="n">
        <v>0.03</v>
      </c>
      <c r="F73" s="21" t="s">
        <v>679</v>
      </c>
    </row>
    <row r="74" customFormat="false" ht="15" hidden="false" customHeight="false" outlineLevel="0" collapsed="false">
      <c r="A74" s="99" t="s">
        <v>680</v>
      </c>
      <c r="B74" s="136"/>
    </row>
    <row r="75" customFormat="false" ht="15" hidden="false" customHeight="false" outlineLevel="0" collapsed="false">
      <c r="A75" s="99" t="s">
        <v>681</v>
      </c>
      <c r="B75" s="128" t="str">
        <f aca="false">IF(B72="","",EDATE(B72,15))</f>
        <v/>
      </c>
      <c r="F75" s="21" t="s">
        <v>682</v>
      </c>
    </row>
    <row r="76" customFormat="false" ht="15" hidden="false" customHeight="false" outlineLevel="0" collapsed="false">
      <c r="A76" s="99" t="s">
        <v>683</v>
      </c>
      <c r="B76" s="132" t="n">
        <v>0</v>
      </c>
      <c r="F76" s="21" t="s">
        <v>684</v>
      </c>
    </row>
  </sheetData>
  <sheetProtection sheet="true" scenarios="true" formatCells="false" formatColumns="false" formatRows="false" sort="false" autoFilter="false"/>
  <dataValidations count="1">
    <dataValidation allowBlank="false" errorStyle="stop" operator="between" showDropDown="false" showErrorMessage="false" showInputMessage="false" sqref="B67:D67" type="list">
      <formula1>"Current,Trimmed,Lean"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Inputs&amp;R&amp;8 Page &amp;P of &amp;N · printed &amp;D</oddFooter>
  </headerFooter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5" min="3" style="0" width="12"/>
    <col collapsed="false" customWidth="true" hidden="false" outlineLevel="0" max="6" min="6" style="0" width="8"/>
    <col collapsed="false" customWidth="true" hidden="false" outlineLevel="0" max="7" min="7" style="0" width="18"/>
    <col collapsed="false" customWidth="true" hidden="false" outlineLevel="0" max="8" min="8" style="0" width="9"/>
    <col collapsed="false" customWidth="true" hidden="false" outlineLevel="0" max="9" min="9" style="0" width="15"/>
    <col collapsed="false" customWidth="true" hidden="false" outlineLevel="0" max="10" min="10" style="0" width="30"/>
    <col collapsed="false" customWidth="true" hidden="false" outlineLevel="0" max="14" min="11" style="0" width="12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9"/>
    <col collapsed="false" customWidth="true" hidden="false" outlineLevel="0" max="18" min="18" style="0" width="2"/>
    <col collapsed="false" customWidth="true" hidden="false" outlineLevel="0" max="19" min="19" style="0" width="18"/>
    <col collapsed="false" customWidth="true" hidden="false" outlineLevel="0" max="21" min="20" style="0" width="12"/>
    <col collapsed="false" customWidth="true" hidden="false" outlineLevel="0" max="22" min="22" style="0" width="10"/>
    <col collapsed="false" customWidth="true" hidden="false" outlineLevel="0" max="23" min="23" style="0" width="2"/>
    <col collapsed="false" customWidth="true" hidden="false" outlineLevel="0" max="24" min="24" style="0" width="8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24" hidden="false" customHeight="true" outlineLevel="0" collapsed="false">
      <c r="A2" s="98" t="s">
        <v>685</v>
      </c>
      <c r="C2" s="139" t="s">
        <v>686</v>
      </c>
      <c r="D2" s="139"/>
      <c r="E2" s="139" t="s">
        <v>687</v>
      </c>
      <c r="F2" s="139"/>
      <c r="G2" s="139" t="s">
        <v>688</v>
      </c>
      <c r="I2" s="139" t="s">
        <v>29</v>
      </c>
      <c r="J2" s="139"/>
      <c r="K2" s="139" t="s">
        <v>689</v>
      </c>
      <c r="L2" s="139"/>
      <c r="M2" s="139"/>
    </row>
    <row r="3" customFormat="false" ht="24" hidden="false" customHeight="true" outlineLevel="0" collapsed="false">
      <c r="C3" s="140" t="n">
        <f aca="false">K38</f>
        <v>0</v>
      </c>
      <c r="D3" s="140"/>
      <c r="E3" s="140" t="n">
        <f aca="false">K36</f>
        <v>0</v>
      </c>
      <c r="F3" s="140"/>
      <c r="G3" s="140" t="n">
        <f aca="false">K37</f>
        <v>0</v>
      </c>
      <c r="I3" s="140" t="n">
        <f aca="false">(Inputs!$B$16+Forecast!$C$41)-K38</f>
        <v>0</v>
      </c>
      <c r="J3" s="140"/>
      <c r="K3" s="140" t="n">
        <f aca="false">N38</f>
        <v>86.42</v>
      </c>
      <c r="L3" s="140"/>
      <c r="M3" s="140"/>
    </row>
    <row r="4" customFormat="false" ht="18.75" hidden="false" customHeight="true" outlineLevel="0" collapsed="false">
      <c r="A4" s="107" t="s">
        <v>690</v>
      </c>
      <c r="B4" s="107" t="s">
        <v>226</v>
      </c>
      <c r="C4" s="107" t="s">
        <v>668</v>
      </c>
      <c r="D4" s="107" t="s">
        <v>669</v>
      </c>
      <c r="E4" s="107" t="s">
        <v>670</v>
      </c>
      <c r="F4" s="107" t="s">
        <v>691</v>
      </c>
      <c r="G4" s="107" t="s">
        <v>51</v>
      </c>
      <c r="H4" s="107" t="s">
        <v>160</v>
      </c>
      <c r="I4" s="107" t="s">
        <v>225</v>
      </c>
      <c r="J4" s="107" t="s">
        <v>163</v>
      </c>
      <c r="K4" s="107" t="s">
        <v>692</v>
      </c>
      <c r="L4" s="107" t="s">
        <v>693</v>
      </c>
      <c r="M4" s="107" t="s">
        <v>694</v>
      </c>
      <c r="N4" s="107" t="s">
        <v>695</v>
      </c>
      <c r="O4" s="107" t="s">
        <v>696</v>
      </c>
      <c r="P4" s="107" t="s">
        <v>697</v>
      </c>
      <c r="Q4" s="107" t="s">
        <v>698</v>
      </c>
      <c r="S4" s="56" t="s">
        <v>699</v>
      </c>
      <c r="T4" s="3"/>
      <c r="U4" s="3"/>
      <c r="V4" s="3"/>
      <c r="X4" s="141" t="s">
        <v>700</v>
      </c>
    </row>
    <row r="5" customFormat="false" ht="19.5" hidden="false" customHeight="true" outlineLevel="0" collapsed="false">
      <c r="A5" s="108" t="s">
        <v>236</v>
      </c>
      <c r="B5" s="108" t="s">
        <v>238</v>
      </c>
      <c r="C5" s="142"/>
      <c r="D5" s="142"/>
      <c r="E5" s="142"/>
      <c r="F5" s="143" t="n">
        <v>1</v>
      </c>
      <c r="G5" s="108"/>
      <c r="H5" s="144"/>
      <c r="I5" s="108" t="s">
        <v>237</v>
      </c>
      <c r="J5" s="145" t="s">
        <v>701</v>
      </c>
      <c r="K5" s="114" t="n">
        <f aca="false">IF($A5="","",N(C5)/IF($H5="",1,IFERROR(INDEX(Setup!$C$23:$C$46,MATCH($H5,Setup!$A$23:$A$46,0)),1)))</f>
        <v>0</v>
      </c>
      <c r="L5" s="114" t="n">
        <f aca="false">IF($A5="","",N(D5)/IF($H5="",1,IFERROR(INDEX(Setup!$C$23:$C$46,MATCH($H5,Setup!$A$23:$A$46,0)),1)))</f>
        <v>0</v>
      </c>
      <c r="M5" s="114" t="n">
        <f aca="false">IF($A5="","",N(E5)/IF($H5="",1,IFERROR(INDEX(Setup!$C$23:$C$46,MATCH($H5,Setup!$A$23:$A$46,0)),1)))</f>
        <v>0</v>
      </c>
      <c r="N5" s="114" t="n">
        <f aca="true">IF(A5="","",SUMIFS('Expense Log'!$K$5:$K$604,'Expense Log'!$F$5:$F$604,A5,'Expense Log'!$H$5:$H$604,DATE(YEAR(TODAY()),MONTH(TODAY()),1)))</f>
        <v>0</v>
      </c>
      <c r="O5" s="146" t="str">
        <f aca="false">IF(OR(A5="",N(K5)=0),"",N5/K5)</f>
        <v/>
      </c>
      <c r="P5" s="147" t="n">
        <f aca="false">IF(A5="","",K5*12)</f>
        <v>0</v>
      </c>
      <c r="Q5" s="148" t="str">
        <f aca="false">IF(OR(A5="",(Inputs!$B$16+Forecast!$C$41)=0),"",K5/(Inputs!$B$16+Forecast!$C$41))</f>
        <v/>
      </c>
      <c r="S5" s="107" t="s">
        <v>225</v>
      </c>
      <c r="T5" s="107" t="s">
        <v>668</v>
      </c>
      <c r="U5" s="107" t="s">
        <v>670</v>
      </c>
      <c r="V5" s="107" t="s">
        <v>702</v>
      </c>
      <c r="X5" s="149" t="s">
        <v>703</v>
      </c>
    </row>
    <row r="6" customFormat="false" ht="15" hidden="false" customHeight="false" outlineLevel="0" collapsed="false">
      <c r="A6" s="108" t="s">
        <v>248</v>
      </c>
      <c r="B6" s="108" t="s">
        <v>238</v>
      </c>
      <c r="C6" s="142"/>
      <c r="D6" s="142"/>
      <c r="E6" s="142"/>
      <c r="F6" s="143" t="n">
        <v>1</v>
      </c>
      <c r="G6" s="108"/>
      <c r="H6" s="144"/>
      <c r="I6" s="108" t="s">
        <v>237</v>
      </c>
      <c r="J6" s="145" t="s">
        <v>704</v>
      </c>
      <c r="K6" s="114" t="n">
        <f aca="false">IF($A6="","",N(C6)/IF($H6="",1,IFERROR(INDEX(Setup!$C$23:$C$46,MATCH($H6,Setup!$A$23:$A$46,0)),1)))</f>
        <v>0</v>
      </c>
      <c r="L6" s="114" t="n">
        <f aca="false">IF($A6="","",N(D6)/IF($H6="",1,IFERROR(INDEX(Setup!$C$23:$C$46,MATCH($H6,Setup!$A$23:$A$46,0)),1)))</f>
        <v>0</v>
      </c>
      <c r="M6" s="114" t="n">
        <f aca="false">IF($A6="","",N(E6)/IF($H6="",1,IFERROR(INDEX(Setup!$C$23:$C$46,MATCH($H6,Setup!$A$23:$A$46,0)),1)))</f>
        <v>0</v>
      </c>
      <c r="N6" s="114" t="n">
        <f aca="true">IF(A6="","",SUMIFS('Expense Log'!$K$5:$K$604,'Expense Log'!$F$5:$F$604,A6,'Expense Log'!$H$5:$H$604,DATE(YEAR(TODAY()),MONTH(TODAY()),1)))</f>
        <v>0</v>
      </c>
      <c r="O6" s="146" t="str">
        <f aca="false">IF(OR(A6="",N(K6)=0),"",N6/K6)</f>
        <v/>
      </c>
      <c r="P6" s="147" t="n">
        <f aca="false">IF(A6="","",K6*12)</f>
        <v>0</v>
      </c>
      <c r="Q6" s="148" t="str">
        <f aca="false">IF(OR(A6="",(Inputs!$B$16+Forecast!$C$41)=0),"",K6/(Inputs!$B$16+Forecast!$C$41))</f>
        <v/>
      </c>
      <c r="S6" s="150" t="s">
        <v>237</v>
      </c>
      <c r="T6" s="147" t="n">
        <f aca="false">SUMIF($I$5:$I$34,S6,$K$5:$K$34)</f>
        <v>0</v>
      </c>
      <c r="U6" s="147" t="n">
        <f aca="false">SUMIF($I$5:$I$34,S6,$M$5:$M$34)</f>
        <v>0</v>
      </c>
      <c r="V6" s="146" t="str">
        <f aca="false">IF($K$38=0,"",T6/$K$38)</f>
        <v/>
      </c>
      <c r="X6" s="149" t="s">
        <v>705</v>
      </c>
    </row>
    <row r="7" customFormat="false" ht="15" hidden="false" customHeight="false" outlineLevel="0" collapsed="false">
      <c r="A7" s="108" t="s">
        <v>256</v>
      </c>
      <c r="B7" s="108" t="s">
        <v>238</v>
      </c>
      <c r="C7" s="142"/>
      <c r="D7" s="142"/>
      <c r="E7" s="142"/>
      <c r="F7" s="143" t="n">
        <v>1</v>
      </c>
      <c r="G7" s="108"/>
      <c r="H7" s="144"/>
      <c r="I7" s="108" t="s">
        <v>237</v>
      </c>
      <c r="J7" s="145" t="s">
        <v>706</v>
      </c>
      <c r="K7" s="114" t="n">
        <f aca="false">IF($A7="","",N(C7)/IF($H7="",1,IFERROR(INDEX(Setup!$C$23:$C$46,MATCH($H7,Setup!$A$23:$A$46,0)),1)))</f>
        <v>0</v>
      </c>
      <c r="L7" s="114" t="n">
        <f aca="false">IF($A7="","",N(D7)/IF($H7="",1,IFERROR(INDEX(Setup!$C$23:$C$46,MATCH($H7,Setup!$A$23:$A$46,0)),1)))</f>
        <v>0</v>
      </c>
      <c r="M7" s="114" t="n">
        <f aca="false">IF($A7="","",N(E7)/IF($H7="",1,IFERROR(INDEX(Setup!$C$23:$C$46,MATCH($H7,Setup!$A$23:$A$46,0)),1)))</f>
        <v>0</v>
      </c>
      <c r="N7" s="114" t="n">
        <f aca="true">IF(A7="","",SUMIFS('Expense Log'!$K$5:$K$604,'Expense Log'!$F$5:$F$604,A7,'Expense Log'!$H$5:$H$604,DATE(YEAR(TODAY()),MONTH(TODAY()),1)))</f>
        <v>0</v>
      </c>
      <c r="O7" s="146" t="str">
        <f aca="false">IF(OR(A7="",N(K7)=0),"",N7/K7)</f>
        <v/>
      </c>
      <c r="P7" s="147" t="n">
        <f aca="false">IF(A7="","",K7*12)</f>
        <v>0</v>
      </c>
      <c r="Q7" s="148" t="str">
        <f aca="false">IF(OR(A7="",(Inputs!$B$16+Forecast!$C$41)=0),"",K7/(Inputs!$B$16+Forecast!$C$41))</f>
        <v/>
      </c>
      <c r="S7" s="150" t="s">
        <v>254</v>
      </c>
      <c r="T7" s="147" t="n">
        <f aca="false">SUMIF($I$5:$I$34,S7,$K$5:$K$34)</f>
        <v>0</v>
      </c>
      <c r="U7" s="147" t="n">
        <f aca="false">SUMIF($I$5:$I$34,S7,$M$5:$M$34)</f>
        <v>0</v>
      </c>
      <c r="V7" s="146" t="str">
        <f aca="false">IF($K$38=0,"",T7/$K$38)</f>
        <v/>
      </c>
      <c r="X7" s="149" t="s">
        <v>707</v>
      </c>
    </row>
    <row r="8" customFormat="false" ht="15" hidden="false" customHeight="false" outlineLevel="0" collapsed="false">
      <c r="A8" s="108" t="s">
        <v>297</v>
      </c>
      <c r="B8" s="108" t="s">
        <v>238</v>
      </c>
      <c r="C8" s="142"/>
      <c r="D8" s="142"/>
      <c r="E8" s="142"/>
      <c r="F8" s="143" t="n">
        <v>15</v>
      </c>
      <c r="G8" s="108"/>
      <c r="H8" s="144"/>
      <c r="I8" s="108" t="s">
        <v>254</v>
      </c>
      <c r="J8" s="145" t="s">
        <v>708</v>
      </c>
      <c r="K8" s="114" t="n">
        <f aca="false">IF($A8="","",N(C8)/IF($H8="",1,IFERROR(INDEX(Setup!$C$23:$C$46,MATCH($H8,Setup!$A$23:$A$46,0)),1)))</f>
        <v>0</v>
      </c>
      <c r="L8" s="114" t="n">
        <f aca="false">IF($A8="","",N(D8)/IF($H8="",1,IFERROR(INDEX(Setup!$C$23:$C$46,MATCH($H8,Setup!$A$23:$A$46,0)),1)))</f>
        <v>0</v>
      </c>
      <c r="M8" s="114" t="n">
        <f aca="false">IF($A8="","",N(E8)/IF($H8="",1,IFERROR(INDEX(Setup!$C$23:$C$46,MATCH($H8,Setup!$A$23:$A$46,0)),1)))</f>
        <v>0</v>
      </c>
      <c r="N8" s="114" t="n">
        <f aca="true">IF(A8="","",SUMIFS('Expense Log'!$K$5:$K$604,'Expense Log'!$F$5:$F$604,A8,'Expense Log'!$H$5:$H$604,DATE(YEAR(TODAY()),MONTH(TODAY()),1)))</f>
        <v>0</v>
      </c>
      <c r="O8" s="146" t="str">
        <f aca="false">IF(OR(A8="",N(K8)=0),"",N8/K8)</f>
        <v/>
      </c>
      <c r="P8" s="147" t="n">
        <f aca="false">IF(A8="","",K8*12)</f>
        <v>0</v>
      </c>
      <c r="Q8" s="148" t="str">
        <f aca="false">IF(OR(A8="",(Inputs!$B$16+Forecast!$C$41)=0),"",K8/(Inputs!$B$16+Forecast!$C$41))</f>
        <v/>
      </c>
      <c r="S8" s="150" t="s">
        <v>263</v>
      </c>
      <c r="T8" s="147" t="n">
        <f aca="false">SUMIF($I$5:$I$34,S8,$K$5:$K$34)</f>
        <v>0</v>
      </c>
      <c r="U8" s="147" t="n">
        <f aca="false">SUMIF($I$5:$I$34,S8,$M$5:$M$34)</f>
        <v>0</v>
      </c>
      <c r="V8" s="146" t="str">
        <f aca="false">IF($K$38=0,"",T8/$K$38)</f>
        <v/>
      </c>
      <c r="X8" s="149" t="s">
        <v>709</v>
      </c>
    </row>
    <row r="9" customFormat="false" ht="15" hidden="false" customHeight="false" outlineLevel="0" collapsed="false">
      <c r="A9" s="108" t="s">
        <v>303</v>
      </c>
      <c r="B9" s="108" t="s">
        <v>238</v>
      </c>
      <c r="C9" s="142"/>
      <c r="D9" s="142"/>
      <c r="E9" s="142"/>
      <c r="F9" s="143" t="n">
        <v>15</v>
      </c>
      <c r="G9" s="108"/>
      <c r="H9" s="144"/>
      <c r="I9" s="108" t="s">
        <v>254</v>
      </c>
      <c r="J9" s="145"/>
      <c r="K9" s="114" t="n">
        <f aca="false">IF($A9="","",N(C9)/IF($H9="",1,IFERROR(INDEX(Setup!$C$23:$C$46,MATCH($H9,Setup!$A$23:$A$46,0)),1)))</f>
        <v>0</v>
      </c>
      <c r="L9" s="114" t="n">
        <f aca="false">IF($A9="","",N(D9)/IF($H9="",1,IFERROR(INDEX(Setup!$C$23:$C$46,MATCH($H9,Setup!$A$23:$A$46,0)),1)))</f>
        <v>0</v>
      </c>
      <c r="M9" s="114" t="n">
        <f aca="false">IF($A9="","",N(E9)/IF($H9="",1,IFERROR(INDEX(Setup!$C$23:$C$46,MATCH($H9,Setup!$A$23:$A$46,0)),1)))</f>
        <v>0</v>
      </c>
      <c r="N9" s="114" t="n">
        <f aca="true">IF(A9="","",SUMIFS('Expense Log'!$K$5:$K$604,'Expense Log'!$F$5:$F$604,A9,'Expense Log'!$H$5:$H$604,DATE(YEAR(TODAY()),MONTH(TODAY()),1)))</f>
        <v>0</v>
      </c>
      <c r="O9" s="146" t="str">
        <f aca="false">IF(OR(A9="",N(K9)=0),"",N9/K9)</f>
        <v/>
      </c>
      <c r="P9" s="147" t="n">
        <f aca="false">IF(A9="","",K9*12)</f>
        <v>0</v>
      </c>
      <c r="Q9" s="148" t="str">
        <f aca="false">IF(OR(A9="",(Inputs!$B$16+Forecast!$C$41)=0),"",K9/(Inputs!$B$16+Forecast!$C$41))</f>
        <v/>
      </c>
      <c r="S9" s="150" t="s">
        <v>272</v>
      </c>
      <c r="T9" s="147" t="n">
        <f aca="false">SUMIF($I$5:$I$34,S9,$K$5:$K$34)</f>
        <v>0</v>
      </c>
      <c r="U9" s="147" t="n">
        <f aca="false">SUMIF($I$5:$I$34,S9,$M$5:$M$34)</f>
        <v>0</v>
      </c>
      <c r="V9" s="146" t="str">
        <f aca="false">IF($K$38=0,"",T9/$K$38)</f>
        <v/>
      </c>
      <c r="X9" s="149" t="s">
        <v>710</v>
      </c>
    </row>
    <row r="10" customFormat="false" ht="15" hidden="false" customHeight="false" outlineLevel="0" collapsed="false">
      <c r="A10" s="108" t="s">
        <v>311</v>
      </c>
      <c r="B10" s="108" t="s">
        <v>238</v>
      </c>
      <c r="C10" s="142"/>
      <c r="D10" s="142"/>
      <c r="E10" s="142"/>
      <c r="F10" s="143" t="n">
        <v>15</v>
      </c>
      <c r="G10" s="108"/>
      <c r="H10" s="144"/>
      <c r="I10" s="108" t="s">
        <v>254</v>
      </c>
      <c r="J10" s="145"/>
      <c r="K10" s="114" t="n">
        <f aca="false">IF($A10="","",N(C10)/IF($H10="",1,IFERROR(INDEX(Setup!$C$23:$C$46,MATCH($H10,Setup!$A$23:$A$46,0)),1)))</f>
        <v>0</v>
      </c>
      <c r="L10" s="114" t="n">
        <f aca="false">IF($A10="","",N(D10)/IF($H10="",1,IFERROR(INDEX(Setup!$C$23:$C$46,MATCH($H10,Setup!$A$23:$A$46,0)),1)))</f>
        <v>0</v>
      </c>
      <c r="M10" s="114" t="n">
        <f aca="false">IF($A10="","",N(E10)/IF($H10="",1,IFERROR(INDEX(Setup!$C$23:$C$46,MATCH($H10,Setup!$A$23:$A$46,0)),1)))</f>
        <v>0</v>
      </c>
      <c r="N10" s="114" t="n">
        <f aca="true">IF(A10="","",SUMIFS('Expense Log'!$K$5:$K$604,'Expense Log'!$F$5:$F$604,A10,'Expense Log'!$H$5:$H$604,DATE(YEAR(TODAY()),MONTH(TODAY()),1)))</f>
        <v>0</v>
      </c>
      <c r="O10" s="146" t="str">
        <f aca="false">IF(OR(A10="",N(K10)=0),"",N10/K10)</f>
        <v/>
      </c>
      <c r="P10" s="147" t="n">
        <f aca="false">IF(A10="","",K10*12)</f>
        <v>0</v>
      </c>
      <c r="Q10" s="148" t="str">
        <f aca="false">IF(OR(A10="",(Inputs!$B$16+Forecast!$C$41)=0),"",K10/(Inputs!$B$16+Forecast!$C$41))</f>
        <v/>
      </c>
      <c r="S10" s="150" t="s">
        <v>281</v>
      </c>
      <c r="T10" s="147" t="n">
        <f aca="false">SUMIF($I$5:$I$34,S10,$K$5:$K$34)</f>
        <v>0</v>
      </c>
      <c r="U10" s="147" t="n">
        <f aca="false">SUMIF($I$5:$I$34,S10,$M$5:$M$34)</f>
        <v>0</v>
      </c>
      <c r="V10" s="146" t="str">
        <f aca="false">IF($K$38=0,"",T10/$K$38)</f>
        <v/>
      </c>
      <c r="X10" s="149" t="s">
        <v>711</v>
      </c>
    </row>
    <row r="11" customFormat="false" ht="15" hidden="false" customHeight="false" outlineLevel="0" collapsed="false">
      <c r="A11" s="108" t="s">
        <v>319</v>
      </c>
      <c r="B11" s="108" t="s">
        <v>238</v>
      </c>
      <c r="C11" s="142"/>
      <c r="D11" s="142"/>
      <c r="E11" s="142"/>
      <c r="F11" s="143" t="n">
        <v>15</v>
      </c>
      <c r="G11" s="108"/>
      <c r="H11" s="144"/>
      <c r="I11" s="108" t="s">
        <v>254</v>
      </c>
      <c r="J11" s="145"/>
      <c r="K11" s="114" t="n">
        <f aca="false">IF($A11="","",N(C11)/IF($H11="",1,IFERROR(INDEX(Setup!$C$23:$C$46,MATCH($H11,Setup!$A$23:$A$46,0)),1)))</f>
        <v>0</v>
      </c>
      <c r="L11" s="114" t="n">
        <f aca="false">IF($A11="","",N(D11)/IF($H11="",1,IFERROR(INDEX(Setup!$C$23:$C$46,MATCH($H11,Setup!$A$23:$A$46,0)),1)))</f>
        <v>0</v>
      </c>
      <c r="M11" s="114" t="n">
        <f aca="false">IF($A11="","",N(E11)/IF($H11="",1,IFERROR(INDEX(Setup!$C$23:$C$46,MATCH($H11,Setup!$A$23:$A$46,0)),1)))</f>
        <v>0</v>
      </c>
      <c r="N11" s="114" t="n">
        <f aca="true">IF(A11="","",SUMIFS('Expense Log'!$K$5:$K$604,'Expense Log'!$F$5:$F$604,A11,'Expense Log'!$H$5:$H$604,DATE(YEAR(TODAY()),MONTH(TODAY()),1)))</f>
        <v>0</v>
      </c>
      <c r="O11" s="146" t="str">
        <f aca="false">IF(OR(A11="",N(K11)=0),"",N11/K11)</f>
        <v/>
      </c>
      <c r="P11" s="147" t="n">
        <f aca="false">IF(A11="","",K11*12)</f>
        <v>0</v>
      </c>
      <c r="Q11" s="148" t="str">
        <f aca="false">IF(OR(A11="",(Inputs!$B$16+Forecast!$C$41)=0),"",K11/(Inputs!$B$16+Forecast!$C$41))</f>
        <v/>
      </c>
      <c r="S11" s="150" t="s">
        <v>288</v>
      </c>
      <c r="T11" s="147" t="n">
        <f aca="false">SUMIF($I$5:$I$34,S11,$K$5:$K$34)</f>
        <v>0</v>
      </c>
      <c r="U11" s="147" t="n">
        <f aca="false">SUMIF($I$5:$I$34,S11,$M$5:$M$34)</f>
        <v>0</v>
      </c>
      <c r="V11" s="146" t="str">
        <f aca="false">IF($K$38=0,"",T11/$K$38)</f>
        <v/>
      </c>
      <c r="X11" s="149" t="s">
        <v>712</v>
      </c>
    </row>
    <row r="12" customFormat="false" ht="15" hidden="false" customHeight="false" outlineLevel="0" collapsed="false">
      <c r="A12" s="108" t="s">
        <v>327</v>
      </c>
      <c r="B12" s="108" t="s">
        <v>238</v>
      </c>
      <c r="C12" s="142"/>
      <c r="D12" s="142"/>
      <c r="E12" s="142"/>
      <c r="F12" s="143" t="n">
        <v>15</v>
      </c>
      <c r="G12" s="108"/>
      <c r="H12" s="144"/>
      <c r="I12" s="108" t="s">
        <v>254</v>
      </c>
      <c r="J12" s="145"/>
      <c r="K12" s="114" t="n">
        <f aca="false">IF($A12="","",N(C12)/IF($H12="",1,IFERROR(INDEX(Setup!$C$23:$C$46,MATCH($H12,Setup!$A$23:$A$46,0)),1)))</f>
        <v>0</v>
      </c>
      <c r="L12" s="114" t="n">
        <f aca="false">IF($A12="","",N(D12)/IF($H12="",1,IFERROR(INDEX(Setup!$C$23:$C$46,MATCH($H12,Setup!$A$23:$A$46,0)),1)))</f>
        <v>0</v>
      </c>
      <c r="M12" s="114" t="n">
        <f aca="false">IF($A12="","",N(E12)/IF($H12="",1,IFERROR(INDEX(Setup!$C$23:$C$46,MATCH($H12,Setup!$A$23:$A$46,0)),1)))</f>
        <v>0</v>
      </c>
      <c r="N12" s="114" t="n">
        <f aca="true">IF(A12="","",SUMIFS('Expense Log'!$K$5:$K$604,'Expense Log'!$F$5:$F$604,A12,'Expense Log'!$H$5:$H$604,DATE(YEAR(TODAY()),MONTH(TODAY()),1)))</f>
        <v>0</v>
      </c>
      <c r="O12" s="146" t="str">
        <f aca="false">IF(OR(A12="",N(K12)=0),"",N12/K12)</f>
        <v/>
      </c>
      <c r="P12" s="147" t="n">
        <f aca="false">IF(A12="","",K12*12)</f>
        <v>0</v>
      </c>
      <c r="Q12" s="148" t="str">
        <f aca="false">IF(OR(A12="",(Inputs!$B$16+Forecast!$C$41)=0),"",K12/(Inputs!$B$16+Forecast!$C$41))</f>
        <v/>
      </c>
      <c r="S12" s="150" t="s">
        <v>295</v>
      </c>
      <c r="T12" s="147" t="n">
        <f aca="false">SUMIF($I$5:$I$34,S12,$K$5:$K$34)</f>
        <v>0</v>
      </c>
      <c r="U12" s="147" t="n">
        <f aca="false">SUMIF($I$5:$I$34,S12,$M$5:$M$34)</f>
        <v>0</v>
      </c>
      <c r="V12" s="146" t="str">
        <f aca="false">IF($K$38=0,"",T12/$K$38)</f>
        <v/>
      </c>
      <c r="X12" s="149" t="s">
        <v>713</v>
      </c>
    </row>
    <row r="13" customFormat="false" ht="15" hidden="false" customHeight="false" outlineLevel="0" collapsed="false">
      <c r="A13" s="108" t="s">
        <v>334</v>
      </c>
      <c r="B13" s="108" t="s">
        <v>238</v>
      </c>
      <c r="C13" s="142"/>
      <c r="D13" s="142"/>
      <c r="E13" s="142"/>
      <c r="F13" s="143" t="n">
        <v>15</v>
      </c>
      <c r="G13" s="108"/>
      <c r="H13" s="144"/>
      <c r="I13" s="108" t="s">
        <v>254</v>
      </c>
      <c r="J13" s="145"/>
      <c r="K13" s="114" t="n">
        <f aca="false">IF($A13="","",N(C13)/IF($H13="",1,IFERROR(INDEX(Setup!$C$23:$C$46,MATCH($H13,Setup!$A$23:$A$46,0)),1)))</f>
        <v>0</v>
      </c>
      <c r="L13" s="114" t="n">
        <f aca="false">IF($A13="","",N(D13)/IF($H13="",1,IFERROR(INDEX(Setup!$C$23:$C$46,MATCH($H13,Setup!$A$23:$A$46,0)),1)))</f>
        <v>0</v>
      </c>
      <c r="M13" s="114" t="n">
        <f aca="false">IF($A13="","",N(E13)/IF($H13="",1,IFERROR(INDEX(Setup!$C$23:$C$46,MATCH($H13,Setup!$A$23:$A$46,0)),1)))</f>
        <v>0</v>
      </c>
      <c r="N13" s="114" t="n">
        <f aca="true">IF(A13="","",SUMIFS('Expense Log'!$K$5:$K$604,'Expense Log'!$F$5:$F$604,A13,'Expense Log'!$H$5:$H$604,DATE(YEAR(TODAY()),MONTH(TODAY()),1)))</f>
        <v>0</v>
      </c>
      <c r="O13" s="146" t="str">
        <f aca="false">IF(OR(A13="",N(K13)=0),"",N13/K13)</f>
        <v/>
      </c>
      <c r="P13" s="147" t="n">
        <f aca="false">IF(A13="","",K13*12)</f>
        <v>0</v>
      </c>
      <c r="Q13" s="148" t="str">
        <f aca="false">IF(OR(A13="",(Inputs!$B$16+Forecast!$C$41)=0),"",K13/(Inputs!$B$16+Forecast!$C$41))</f>
        <v/>
      </c>
      <c r="S13" s="150" t="s">
        <v>302</v>
      </c>
      <c r="T13" s="147" t="n">
        <f aca="false">SUMIF($I$5:$I$34,S13,$K$5:$K$34)</f>
        <v>0</v>
      </c>
      <c r="U13" s="147" t="n">
        <f aca="false">SUMIF($I$5:$I$34,S13,$M$5:$M$34)</f>
        <v>0</v>
      </c>
      <c r="V13" s="146" t="str">
        <f aca="false">IF($K$38=0,"",T13/$K$38)</f>
        <v/>
      </c>
      <c r="X13" s="149" t="s">
        <v>714</v>
      </c>
    </row>
    <row r="14" customFormat="false" ht="15" hidden="false" customHeight="false" outlineLevel="0" collapsed="false">
      <c r="A14" s="108" t="s">
        <v>476</v>
      </c>
      <c r="B14" s="108" t="s">
        <v>238</v>
      </c>
      <c r="C14" s="142"/>
      <c r="D14" s="142"/>
      <c r="E14" s="142"/>
      <c r="F14" s="143" t="n">
        <v>1</v>
      </c>
      <c r="G14" s="108"/>
      <c r="H14" s="144"/>
      <c r="I14" s="108" t="s">
        <v>317</v>
      </c>
      <c r="J14" s="145" t="s">
        <v>715</v>
      </c>
      <c r="K14" s="114" t="n">
        <f aca="false">IF($A14="","",N(C14)/IF($H14="",1,IFERROR(INDEX(Setup!$C$23:$C$46,MATCH($H14,Setup!$A$23:$A$46,0)),1)))</f>
        <v>0</v>
      </c>
      <c r="L14" s="114" t="n">
        <f aca="false">IF($A14="","",N(D14)/IF($H14="",1,IFERROR(INDEX(Setup!$C$23:$C$46,MATCH($H14,Setup!$A$23:$A$46,0)),1)))</f>
        <v>0</v>
      </c>
      <c r="M14" s="114" t="n">
        <f aca="false">IF($A14="","",N(E14)/IF($H14="",1,IFERROR(INDEX(Setup!$C$23:$C$46,MATCH($H14,Setup!$A$23:$A$46,0)),1)))</f>
        <v>0</v>
      </c>
      <c r="N14" s="114" t="n">
        <f aca="true">IF(A14="","",SUMIFS('Expense Log'!$K$5:$K$604,'Expense Log'!$F$5:$F$604,A14,'Expense Log'!$H$5:$H$604,DATE(YEAR(TODAY()),MONTH(TODAY()),1)))</f>
        <v>0</v>
      </c>
      <c r="O14" s="146" t="str">
        <f aca="false">IF(OR(A14="",N(K14)=0),"",N14/K14)</f>
        <v/>
      </c>
      <c r="P14" s="147" t="n">
        <f aca="false">IF(A14="","",K14*12)</f>
        <v>0</v>
      </c>
      <c r="Q14" s="148" t="str">
        <f aca="false">IF(OR(A14="",(Inputs!$B$16+Forecast!$C$41)=0),"",K14/(Inputs!$B$16+Forecast!$C$41))</f>
        <v/>
      </c>
      <c r="S14" s="150" t="s">
        <v>309</v>
      </c>
      <c r="T14" s="147" t="n">
        <f aca="false">SUMIF($I$5:$I$34,S14,$K$5:$K$34)</f>
        <v>0</v>
      </c>
      <c r="U14" s="147" t="n">
        <f aca="false">SUMIF($I$5:$I$34,S14,$M$5:$M$34)</f>
        <v>0</v>
      </c>
      <c r="V14" s="146" t="str">
        <f aca="false">IF($K$38=0,"",T14/$K$38)</f>
        <v/>
      </c>
      <c r="X14" s="149" t="s">
        <v>716</v>
      </c>
    </row>
    <row r="15" customFormat="false" ht="15" hidden="false" customHeight="false" outlineLevel="0" collapsed="false">
      <c r="A15" s="108" t="s">
        <v>478</v>
      </c>
      <c r="B15" s="108" t="s">
        <v>238</v>
      </c>
      <c r="C15" s="142"/>
      <c r="D15" s="142"/>
      <c r="E15" s="142"/>
      <c r="F15" s="143" t="n">
        <v>1</v>
      </c>
      <c r="G15" s="108"/>
      <c r="H15" s="144"/>
      <c r="I15" s="108" t="s">
        <v>317</v>
      </c>
      <c r="J15" s="145"/>
      <c r="K15" s="114" t="n">
        <f aca="false">IF($A15="","",N(C15)/IF($H15="",1,IFERROR(INDEX(Setup!$C$23:$C$46,MATCH($H15,Setup!$A$23:$A$46,0)),1)))</f>
        <v>0</v>
      </c>
      <c r="L15" s="114" t="n">
        <f aca="false">IF($A15="","",N(D15)/IF($H15="",1,IFERROR(INDEX(Setup!$C$23:$C$46,MATCH($H15,Setup!$A$23:$A$46,0)),1)))</f>
        <v>0</v>
      </c>
      <c r="M15" s="114" t="n">
        <f aca="false">IF($A15="","",N(E15)/IF($H15="",1,IFERROR(INDEX(Setup!$C$23:$C$46,MATCH($H15,Setup!$A$23:$A$46,0)),1)))</f>
        <v>0</v>
      </c>
      <c r="N15" s="114" t="n">
        <f aca="true">IF(A15="","",SUMIFS('Expense Log'!$K$5:$K$604,'Expense Log'!$F$5:$F$604,A15,'Expense Log'!$H$5:$H$604,DATE(YEAR(TODAY()),MONTH(TODAY()),1)))</f>
        <v>0</v>
      </c>
      <c r="O15" s="146" t="str">
        <f aca="false">IF(OR(A15="",N(K15)=0),"",N15/K15)</f>
        <v/>
      </c>
      <c r="P15" s="147" t="n">
        <f aca="false">IF(A15="","",K15*12)</f>
        <v>0</v>
      </c>
      <c r="Q15" s="148" t="str">
        <f aca="false">IF(OR(A15="",(Inputs!$B$16+Forecast!$C$41)=0),"",K15/(Inputs!$B$16+Forecast!$C$41))</f>
        <v/>
      </c>
      <c r="S15" s="150" t="s">
        <v>317</v>
      </c>
      <c r="T15" s="147" t="n">
        <f aca="false">SUMIF($I$5:$I$34,S15,$K$5:$K$34)</f>
        <v>0</v>
      </c>
      <c r="U15" s="147" t="n">
        <f aca="false">SUMIF($I$5:$I$34,S15,$M$5:$M$34)</f>
        <v>0</v>
      </c>
      <c r="V15" s="146" t="str">
        <f aca="false">IF($K$38=0,"",T15/$K$38)</f>
        <v/>
      </c>
      <c r="X15" s="149" t="s">
        <v>717</v>
      </c>
    </row>
    <row r="16" customFormat="false" ht="15" hidden="false" customHeight="false" outlineLevel="0" collapsed="false">
      <c r="A16" s="108" t="s">
        <v>350</v>
      </c>
      <c r="B16" s="108" t="s">
        <v>238</v>
      </c>
      <c r="C16" s="142"/>
      <c r="D16" s="142"/>
      <c r="E16" s="142"/>
      <c r="F16" s="143" t="n">
        <v>1</v>
      </c>
      <c r="G16" s="108"/>
      <c r="H16" s="144"/>
      <c r="I16" s="108" t="s">
        <v>263</v>
      </c>
      <c r="J16" s="145"/>
      <c r="K16" s="114" t="n">
        <f aca="false">IF($A16="","",N(C16)/IF($H16="",1,IFERROR(INDEX(Setup!$C$23:$C$46,MATCH($H16,Setup!$A$23:$A$46,0)),1)))</f>
        <v>0</v>
      </c>
      <c r="L16" s="114" t="n">
        <f aca="false">IF($A16="","",N(D16)/IF($H16="",1,IFERROR(INDEX(Setup!$C$23:$C$46,MATCH($H16,Setup!$A$23:$A$46,0)),1)))</f>
        <v>0</v>
      </c>
      <c r="M16" s="114" t="n">
        <f aca="false">IF($A16="","",N(E16)/IF($H16="",1,IFERROR(INDEX(Setup!$C$23:$C$46,MATCH($H16,Setup!$A$23:$A$46,0)),1)))</f>
        <v>0</v>
      </c>
      <c r="N16" s="114" t="n">
        <f aca="true">IF(A16="","",SUMIFS('Expense Log'!$K$5:$K$604,'Expense Log'!$F$5:$F$604,A16,'Expense Log'!$H$5:$H$604,DATE(YEAR(TODAY()),MONTH(TODAY()),1)))</f>
        <v>0</v>
      </c>
      <c r="O16" s="146" t="str">
        <f aca="false">IF(OR(A16="",N(K16)=0),"",N16/K16)</f>
        <v/>
      </c>
      <c r="P16" s="147" t="n">
        <f aca="false">IF(A16="","",K16*12)</f>
        <v>0</v>
      </c>
      <c r="Q16" s="148" t="str">
        <f aca="false">IF(OR(A16="",(Inputs!$B$16+Forecast!$C$41)=0),"",K16/(Inputs!$B$16+Forecast!$C$41))</f>
        <v/>
      </c>
      <c r="S16" s="150" t="s">
        <v>325</v>
      </c>
      <c r="T16" s="147" t="n">
        <f aca="false">SUMIF($I$5:$I$34,S16,$K$5:$K$34)</f>
        <v>0</v>
      </c>
      <c r="U16" s="147" t="n">
        <f aca="false">SUMIF($I$5:$I$34,S16,$M$5:$M$34)</f>
        <v>0</v>
      </c>
      <c r="V16" s="146" t="str">
        <f aca="false">IF($K$38=0,"",T16/$K$38)</f>
        <v/>
      </c>
      <c r="X16" s="149" t="s">
        <v>718</v>
      </c>
    </row>
    <row r="17" customFormat="false" ht="15" hidden="false" customHeight="false" outlineLevel="0" collapsed="false">
      <c r="A17" s="108" t="s">
        <v>356</v>
      </c>
      <c r="B17" s="108" t="s">
        <v>238</v>
      </c>
      <c r="C17" s="142"/>
      <c r="D17" s="142"/>
      <c r="E17" s="142"/>
      <c r="F17" s="143" t="n">
        <v>1</v>
      </c>
      <c r="G17" s="108"/>
      <c r="H17" s="144"/>
      <c r="I17" s="108" t="s">
        <v>263</v>
      </c>
      <c r="J17" s="145"/>
      <c r="K17" s="114" t="n">
        <f aca="false">IF($A17="","",N(C17)/IF($H17="",1,IFERROR(INDEX(Setup!$C$23:$C$46,MATCH($H17,Setup!$A$23:$A$46,0)),1)))</f>
        <v>0</v>
      </c>
      <c r="L17" s="114" t="n">
        <f aca="false">IF($A17="","",N(D17)/IF($H17="",1,IFERROR(INDEX(Setup!$C$23:$C$46,MATCH($H17,Setup!$A$23:$A$46,0)),1)))</f>
        <v>0</v>
      </c>
      <c r="M17" s="114" t="n">
        <f aca="false">IF($A17="","",N(E17)/IF($H17="",1,IFERROR(INDEX(Setup!$C$23:$C$46,MATCH($H17,Setup!$A$23:$A$46,0)),1)))</f>
        <v>0</v>
      </c>
      <c r="N17" s="114" t="n">
        <f aca="true">IF(A17="","",SUMIFS('Expense Log'!$K$5:$K$604,'Expense Log'!$F$5:$F$604,A17,'Expense Log'!$H$5:$H$604,DATE(YEAR(TODAY()),MONTH(TODAY()),1)))</f>
        <v>0</v>
      </c>
      <c r="O17" s="146" t="str">
        <f aca="false">IF(OR(A17="",N(K17)=0),"",N17/K17)</f>
        <v/>
      </c>
      <c r="P17" s="147" t="n">
        <f aca="false">IF(A17="","",K17*12)</f>
        <v>0</v>
      </c>
      <c r="Q17" s="148" t="str">
        <f aca="false">IF(OR(A17="",(Inputs!$B$16+Forecast!$C$41)=0),"",K17/(Inputs!$B$16+Forecast!$C$41))</f>
        <v/>
      </c>
      <c r="S17" s="150" t="s">
        <v>252</v>
      </c>
      <c r="T17" s="147" t="n">
        <f aca="false">SUMIF($I$5:$I$34,S17,$K$5:$K$34)</f>
        <v>0</v>
      </c>
      <c r="U17" s="147" t="n">
        <f aca="false">SUMIF($I$5:$I$34,S17,$M$5:$M$34)</f>
        <v>0</v>
      </c>
      <c r="V17" s="146" t="str">
        <f aca="false">IF($K$38=0,"",T17/$K$38)</f>
        <v/>
      </c>
      <c r="X17" s="149" t="s">
        <v>719</v>
      </c>
    </row>
    <row r="18" customFormat="false" ht="15" hidden="false" customHeight="false" outlineLevel="0" collapsed="false">
      <c r="A18" s="108" t="s">
        <v>362</v>
      </c>
      <c r="B18" s="108" t="s">
        <v>275</v>
      </c>
      <c r="C18" s="142"/>
      <c r="D18" s="142"/>
      <c r="E18" s="142"/>
      <c r="F18" s="143" t="n">
        <v>1</v>
      </c>
      <c r="G18" s="108"/>
      <c r="H18" s="144"/>
      <c r="I18" s="108" t="s">
        <v>263</v>
      </c>
      <c r="J18" s="145"/>
      <c r="K18" s="114" t="n">
        <f aca="false">IF($A18="","",N(C18)/IF($H18="",1,IFERROR(INDEX(Setup!$C$23:$C$46,MATCH($H18,Setup!$A$23:$A$46,0)),1)))</f>
        <v>0</v>
      </c>
      <c r="L18" s="114" t="n">
        <f aca="false">IF($A18="","",N(D18)/IF($H18="",1,IFERROR(INDEX(Setup!$C$23:$C$46,MATCH($H18,Setup!$A$23:$A$46,0)),1)))</f>
        <v>0</v>
      </c>
      <c r="M18" s="114" t="n">
        <f aca="false">IF($A18="","",N(E18)/IF($H18="",1,IFERROR(INDEX(Setup!$C$23:$C$46,MATCH($H18,Setup!$A$23:$A$46,0)),1)))</f>
        <v>0</v>
      </c>
      <c r="N18" s="114" t="n">
        <f aca="true">IF(A18="","",SUMIFS('Expense Log'!$K$5:$K$604,'Expense Log'!$F$5:$F$604,A18,'Expense Log'!$H$5:$H$604,DATE(YEAR(TODAY()),MONTH(TODAY()),1)))</f>
        <v>0</v>
      </c>
      <c r="O18" s="146" t="str">
        <f aca="false">IF(OR(A18="",N(K18)=0),"",N18/K18)</f>
        <v/>
      </c>
      <c r="P18" s="147" t="n">
        <f aca="false">IF(A18="","",K18*12)</f>
        <v>0</v>
      </c>
      <c r="Q18" s="148" t="str">
        <f aca="false">IF(OR(A18="",(Inputs!$B$16+Forecast!$C$41)=0),"",K18/(Inputs!$B$16+Forecast!$C$41))</f>
        <v/>
      </c>
      <c r="S18" s="150" t="s">
        <v>340</v>
      </c>
      <c r="T18" s="147" t="n">
        <f aca="false">SUMIF($I$5:$I$34,S18,$K$5:$K$34)</f>
        <v>0</v>
      </c>
      <c r="U18" s="147" t="n">
        <f aca="false">SUMIF($I$5:$I$34,S18,$M$5:$M$34)</f>
        <v>0</v>
      </c>
      <c r="V18" s="146" t="str">
        <f aca="false">IF($K$38=0,"",T18/$K$38)</f>
        <v/>
      </c>
      <c r="X18" s="149" t="s">
        <v>720</v>
      </c>
    </row>
    <row r="19" customFormat="false" ht="15" hidden="false" customHeight="false" outlineLevel="0" collapsed="false">
      <c r="A19" s="108" t="s">
        <v>377</v>
      </c>
      <c r="B19" s="108" t="s">
        <v>275</v>
      </c>
      <c r="C19" s="142"/>
      <c r="D19" s="142"/>
      <c r="E19" s="142"/>
      <c r="F19" s="143" t="n">
        <v>1</v>
      </c>
      <c r="G19" s="108"/>
      <c r="H19" s="144"/>
      <c r="I19" s="108" t="s">
        <v>263</v>
      </c>
      <c r="J19" s="145"/>
      <c r="K19" s="114" t="n">
        <f aca="false">IF($A19="","",N(C19)/IF($H19="",1,IFERROR(INDEX(Setup!$C$23:$C$46,MATCH($H19,Setup!$A$23:$A$46,0)),1)))</f>
        <v>0</v>
      </c>
      <c r="L19" s="114" t="n">
        <f aca="false">IF($A19="","",N(D19)/IF($H19="",1,IFERROR(INDEX(Setup!$C$23:$C$46,MATCH($H19,Setup!$A$23:$A$46,0)),1)))</f>
        <v>0</v>
      </c>
      <c r="M19" s="114" t="n">
        <f aca="false">IF($A19="","",N(E19)/IF($H19="",1,IFERROR(INDEX(Setup!$C$23:$C$46,MATCH($H19,Setup!$A$23:$A$46,0)),1)))</f>
        <v>0</v>
      </c>
      <c r="N19" s="114" t="n">
        <f aca="true">IF(A19="","",SUMIFS('Expense Log'!$K$5:$K$604,'Expense Log'!$F$5:$F$604,A19,'Expense Log'!$H$5:$H$604,DATE(YEAR(TODAY()),MONTH(TODAY()),1)))</f>
        <v>0</v>
      </c>
      <c r="O19" s="146" t="str">
        <f aca="false">IF(OR(A19="",N(K19)=0),"",N19/K19)</f>
        <v/>
      </c>
      <c r="P19" s="147" t="n">
        <f aca="false">IF(A19="","",K19*12)</f>
        <v>0</v>
      </c>
      <c r="Q19" s="148" t="str">
        <f aca="false">IF(OR(A19="",(Inputs!$B$16+Forecast!$C$41)=0),"",K19/(Inputs!$B$16+Forecast!$C$41))</f>
        <v/>
      </c>
      <c r="S19" s="150" t="s">
        <v>348</v>
      </c>
      <c r="T19" s="147" t="n">
        <f aca="false">SUMIF($I$5:$I$34,S19,$K$5:$K$34)</f>
        <v>0</v>
      </c>
      <c r="U19" s="147" t="n">
        <f aca="false">SUMIF($I$5:$I$34,S19,$M$5:$M$34)</f>
        <v>0</v>
      </c>
      <c r="V19" s="146" t="str">
        <f aca="false">IF($K$38=0,"",T19/$K$38)</f>
        <v/>
      </c>
      <c r="X19" s="149" t="s">
        <v>721</v>
      </c>
    </row>
    <row r="20" customFormat="false" ht="15" hidden="false" customHeight="false" outlineLevel="0" collapsed="false">
      <c r="A20" s="108" t="s">
        <v>385</v>
      </c>
      <c r="B20" s="108" t="s">
        <v>275</v>
      </c>
      <c r="C20" s="142"/>
      <c r="D20" s="142"/>
      <c r="E20" s="142"/>
      <c r="F20" s="143" t="n">
        <v>1</v>
      </c>
      <c r="G20" s="108"/>
      <c r="H20" s="144"/>
      <c r="I20" s="108" t="s">
        <v>272</v>
      </c>
      <c r="J20" s="145"/>
      <c r="K20" s="114" t="n">
        <f aca="false">IF($A20="","",N(C20)/IF($H20="",1,IFERROR(INDEX(Setup!$C$23:$C$46,MATCH($H20,Setup!$A$23:$A$46,0)),1)))</f>
        <v>0</v>
      </c>
      <c r="L20" s="114" t="n">
        <f aca="false">IF($A20="","",N(D20)/IF($H20="",1,IFERROR(INDEX(Setup!$C$23:$C$46,MATCH($H20,Setup!$A$23:$A$46,0)),1)))</f>
        <v>0</v>
      </c>
      <c r="M20" s="114" t="n">
        <f aca="false">IF($A20="","",N(E20)/IF($H20="",1,IFERROR(INDEX(Setup!$C$23:$C$46,MATCH($H20,Setup!$A$23:$A$46,0)),1)))</f>
        <v>0</v>
      </c>
      <c r="N20" s="114" t="n">
        <f aca="true">IF(A20="","",SUMIFS('Expense Log'!$K$5:$K$604,'Expense Log'!$F$5:$F$604,A20,'Expense Log'!$H$5:$H$604,DATE(YEAR(TODAY()),MONTH(TODAY()),1)))</f>
        <v>86.42</v>
      </c>
      <c r="O20" s="146" t="str">
        <f aca="false">IF(OR(A20="",N(K20)=0),"",N20/K20)</f>
        <v/>
      </c>
      <c r="P20" s="147" t="n">
        <f aca="false">IF(A20="","",K20*12)</f>
        <v>0</v>
      </c>
      <c r="Q20" s="148" t="str">
        <f aca="false">IF(OR(A20="",(Inputs!$B$16+Forecast!$C$41)=0),"",K20/(Inputs!$B$16+Forecast!$C$41))</f>
        <v/>
      </c>
      <c r="S20" s="150" t="s">
        <v>354</v>
      </c>
      <c r="T20" s="147" t="n">
        <f aca="false">SUMIF($I$5:$I$34,S20,$K$5:$K$34)</f>
        <v>0</v>
      </c>
      <c r="U20" s="147" t="n">
        <f aca="false">SUMIF($I$5:$I$34,S20,$M$5:$M$34)</f>
        <v>0</v>
      </c>
      <c r="V20" s="146" t="str">
        <f aca="false">IF($K$38=0,"",T20/$K$38)</f>
        <v/>
      </c>
      <c r="X20" s="149" t="s">
        <v>722</v>
      </c>
    </row>
    <row r="21" customFormat="false" ht="15" hidden="false" customHeight="false" outlineLevel="0" collapsed="false">
      <c r="A21" s="108" t="s">
        <v>388</v>
      </c>
      <c r="B21" s="108" t="s">
        <v>275</v>
      </c>
      <c r="C21" s="142"/>
      <c r="D21" s="142"/>
      <c r="E21" s="142"/>
      <c r="F21" s="143" t="n">
        <v>1</v>
      </c>
      <c r="G21" s="108"/>
      <c r="H21" s="144"/>
      <c r="I21" s="108" t="s">
        <v>272</v>
      </c>
      <c r="J21" s="145"/>
      <c r="K21" s="114" t="n">
        <f aca="false">IF($A21="","",N(C21)/IF($H21="",1,IFERROR(INDEX(Setup!$C$23:$C$46,MATCH($H21,Setup!$A$23:$A$46,0)),1)))</f>
        <v>0</v>
      </c>
      <c r="L21" s="114" t="n">
        <f aca="false">IF($A21="","",N(D21)/IF($H21="",1,IFERROR(INDEX(Setup!$C$23:$C$46,MATCH($H21,Setup!$A$23:$A$46,0)),1)))</f>
        <v>0</v>
      </c>
      <c r="M21" s="114" t="n">
        <f aca="false">IF($A21="","",N(E21)/IF($H21="",1,IFERROR(INDEX(Setup!$C$23:$C$46,MATCH($H21,Setup!$A$23:$A$46,0)),1)))</f>
        <v>0</v>
      </c>
      <c r="N21" s="114" t="n">
        <f aca="true">IF(A21="","",SUMIFS('Expense Log'!$K$5:$K$604,'Expense Log'!$F$5:$F$604,A21,'Expense Log'!$H$5:$H$604,DATE(YEAR(TODAY()),MONTH(TODAY()),1)))</f>
        <v>0</v>
      </c>
      <c r="O21" s="146" t="str">
        <f aca="false">IF(OR(A21="",N(K21)=0),"",N21/K21)</f>
        <v/>
      </c>
      <c r="P21" s="147" t="n">
        <f aca="false">IF(A21="","",K21*12)</f>
        <v>0</v>
      </c>
      <c r="Q21" s="148" t="str">
        <f aca="false">IF(OR(A21="",(Inputs!$B$16+Forecast!$C$41)=0),"",K21/(Inputs!$B$16+Forecast!$C$41))</f>
        <v/>
      </c>
      <c r="S21" s="151" t="s">
        <v>723</v>
      </c>
      <c r="T21" s="152" t="n">
        <f aca="false">SUM(T6:T20)</f>
        <v>0</v>
      </c>
      <c r="U21" s="152" t="n">
        <f aca="false">SUM(U6:U20)</f>
        <v>0</v>
      </c>
      <c r="V21" s="153" t="n">
        <f aca="false">SUM(V6:V20)</f>
        <v>0</v>
      </c>
      <c r="X21" s="149" t="s">
        <v>724</v>
      </c>
    </row>
    <row r="22" customFormat="false" ht="15" hidden="false" customHeight="false" outlineLevel="0" collapsed="false">
      <c r="A22" s="108" t="s">
        <v>400</v>
      </c>
      <c r="B22" s="108" t="s">
        <v>238</v>
      </c>
      <c r="C22" s="142"/>
      <c r="D22" s="142"/>
      <c r="E22" s="142"/>
      <c r="F22" s="143" t="n">
        <v>1</v>
      </c>
      <c r="G22" s="108"/>
      <c r="H22" s="144"/>
      <c r="I22" s="108" t="s">
        <v>281</v>
      </c>
      <c r="J22" s="145" t="s">
        <v>725</v>
      </c>
      <c r="K22" s="114" t="n">
        <f aca="false">IF($A22="","",N(C22)/IF($H22="",1,IFERROR(INDEX(Setup!$C$23:$C$46,MATCH($H22,Setup!$A$23:$A$46,0)),1)))</f>
        <v>0</v>
      </c>
      <c r="L22" s="114" t="n">
        <f aca="false">IF($A22="","",N(D22)/IF($H22="",1,IFERROR(INDEX(Setup!$C$23:$C$46,MATCH($H22,Setup!$A$23:$A$46,0)),1)))</f>
        <v>0</v>
      </c>
      <c r="M22" s="114" t="n">
        <f aca="false">IF($A22="","",N(E22)/IF($H22="",1,IFERROR(INDEX(Setup!$C$23:$C$46,MATCH($H22,Setup!$A$23:$A$46,0)),1)))</f>
        <v>0</v>
      </c>
      <c r="N22" s="114" t="n">
        <f aca="true">IF(A22="","",SUMIFS('Expense Log'!$K$5:$K$604,'Expense Log'!$F$5:$F$604,A22,'Expense Log'!$H$5:$H$604,DATE(YEAR(TODAY()),MONTH(TODAY()),1)))</f>
        <v>0</v>
      </c>
      <c r="O22" s="146" t="str">
        <f aca="false">IF(OR(A22="",N(K22)=0),"",N22/K22)</f>
        <v/>
      </c>
      <c r="P22" s="147" t="n">
        <f aca="false">IF(A22="","",K22*12)</f>
        <v>0</v>
      </c>
      <c r="Q22" s="148" t="str">
        <f aca="false">IF(OR(A22="",(Inputs!$B$16+Forecast!$C$41)=0),"",K22/(Inputs!$B$16+Forecast!$C$41))</f>
        <v/>
      </c>
      <c r="X22" s="149" t="s">
        <v>726</v>
      </c>
    </row>
    <row r="23" customFormat="false" ht="18.75" hidden="false" customHeight="true" outlineLevel="0" collapsed="false">
      <c r="A23" s="108" t="s">
        <v>404</v>
      </c>
      <c r="B23" s="108" t="s">
        <v>275</v>
      </c>
      <c r="C23" s="142"/>
      <c r="D23" s="142"/>
      <c r="E23" s="142"/>
      <c r="F23" s="143" t="n">
        <v>1</v>
      </c>
      <c r="G23" s="108"/>
      <c r="H23" s="144"/>
      <c r="I23" s="108" t="s">
        <v>281</v>
      </c>
      <c r="J23" s="145"/>
      <c r="K23" s="114" t="n">
        <f aca="false">IF($A23="","",N(C23)/IF($H23="",1,IFERROR(INDEX(Setup!$C$23:$C$46,MATCH($H23,Setup!$A$23:$A$46,0)),1)))</f>
        <v>0</v>
      </c>
      <c r="L23" s="114" t="n">
        <f aca="false">IF($A23="","",N(D23)/IF($H23="",1,IFERROR(INDEX(Setup!$C$23:$C$46,MATCH($H23,Setup!$A$23:$A$46,0)),1)))</f>
        <v>0</v>
      </c>
      <c r="M23" s="114" t="n">
        <f aca="false">IF($A23="","",N(E23)/IF($H23="",1,IFERROR(INDEX(Setup!$C$23:$C$46,MATCH($H23,Setup!$A$23:$A$46,0)),1)))</f>
        <v>0</v>
      </c>
      <c r="N23" s="114" t="n">
        <f aca="true">IF(A23="","",SUMIFS('Expense Log'!$K$5:$K$604,'Expense Log'!$F$5:$F$604,A23,'Expense Log'!$H$5:$H$604,DATE(YEAR(TODAY()),MONTH(TODAY()),1)))</f>
        <v>0</v>
      </c>
      <c r="O23" s="146" t="str">
        <f aca="false">IF(OR(A23="",N(K23)=0),"",N23/K23)</f>
        <v/>
      </c>
      <c r="P23" s="147" t="n">
        <f aca="false">IF(A23="","",K23*12)</f>
        <v>0</v>
      </c>
      <c r="Q23" s="148" t="str">
        <f aca="false">IF(OR(A23="",(Inputs!$B$16+Forecast!$C$41)=0),"",K23/(Inputs!$B$16+Forecast!$C$41))</f>
        <v/>
      </c>
      <c r="S23" s="56" t="s">
        <v>727</v>
      </c>
      <c r="T23" s="3"/>
      <c r="U23" s="3"/>
      <c r="V23" s="3"/>
      <c r="X23" s="149" t="s">
        <v>728</v>
      </c>
    </row>
    <row r="24" customFormat="false" ht="19.5" hidden="false" customHeight="true" outlineLevel="0" collapsed="false">
      <c r="A24" s="108" t="s">
        <v>412</v>
      </c>
      <c r="B24" s="108" t="s">
        <v>275</v>
      </c>
      <c r="C24" s="142"/>
      <c r="D24" s="142"/>
      <c r="E24" s="142"/>
      <c r="F24" s="143" t="n">
        <v>15</v>
      </c>
      <c r="G24" s="108"/>
      <c r="H24" s="144"/>
      <c r="I24" s="108" t="s">
        <v>281</v>
      </c>
      <c r="J24" s="145"/>
      <c r="K24" s="114" t="n">
        <f aca="false">IF($A24="","",N(C24)/IF($H24="",1,IFERROR(INDEX(Setup!$C$23:$C$46,MATCH($H24,Setup!$A$23:$A$46,0)),1)))</f>
        <v>0</v>
      </c>
      <c r="L24" s="114" t="n">
        <f aca="false">IF($A24="","",N(D24)/IF($H24="",1,IFERROR(INDEX(Setup!$C$23:$C$46,MATCH($H24,Setup!$A$23:$A$46,0)),1)))</f>
        <v>0</v>
      </c>
      <c r="M24" s="114" t="n">
        <f aca="false">IF($A24="","",N(E24)/IF($H24="",1,IFERROR(INDEX(Setup!$C$23:$C$46,MATCH($H24,Setup!$A$23:$A$46,0)),1)))</f>
        <v>0</v>
      </c>
      <c r="N24" s="114" t="n">
        <f aca="true">IF(A24="","",SUMIFS('Expense Log'!$K$5:$K$604,'Expense Log'!$F$5:$F$604,A24,'Expense Log'!$H$5:$H$604,DATE(YEAR(TODAY()),MONTH(TODAY()),1)))</f>
        <v>0</v>
      </c>
      <c r="O24" s="146" t="str">
        <f aca="false">IF(OR(A24="",N(K24)=0),"",N24/K24)</f>
        <v/>
      </c>
      <c r="P24" s="147" t="n">
        <f aca="false">IF(A24="","",K24*12)</f>
        <v>0</v>
      </c>
      <c r="Q24" s="148" t="str">
        <f aca="false">IF(OR(A24="",(Inputs!$B$16+Forecast!$C$41)=0),"",K24/(Inputs!$B$16+Forecast!$C$41))</f>
        <v/>
      </c>
      <c r="S24" s="107" t="s">
        <v>51</v>
      </c>
      <c r="T24" s="107" t="s">
        <v>729</v>
      </c>
      <c r="U24" s="107" t="s">
        <v>730</v>
      </c>
      <c r="V24" s="107" t="s">
        <v>731</v>
      </c>
      <c r="X24" s="149" t="s">
        <v>732</v>
      </c>
    </row>
    <row r="25" customFormat="false" ht="15" hidden="false" customHeight="false" outlineLevel="0" collapsed="false">
      <c r="A25" s="108" t="s">
        <v>415</v>
      </c>
      <c r="B25" s="108" t="s">
        <v>238</v>
      </c>
      <c r="C25" s="142"/>
      <c r="D25" s="142"/>
      <c r="E25" s="142"/>
      <c r="F25" s="143" t="n">
        <v>1</v>
      </c>
      <c r="G25" s="108"/>
      <c r="H25" s="144"/>
      <c r="I25" s="108" t="s">
        <v>281</v>
      </c>
      <c r="J25" s="145"/>
      <c r="K25" s="114" t="n">
        <f aca="false">IF($A25="","",N(C25)/IF($H25="",1,IFERROR(INDEX(Setup!$C$23:$C$46,MATCH($H25,Setup!$A$23:$A$46,0)),1)))</f>
        <v>0</v>
      </c>
      <c r="L25" s="114" t="n">
        <f aca="false">IF($A25="","",N(D25)/IF($H25="",1,IFERROR(INDEX(Setup!$C$23:$C$46,MATCH($H25,Setup!$A$23:$A$46,0)),1)))</f>
        <v>0</v>
      </c>
      <c r="M25" s="114" t="n">
        <f aca="false">IF($A25="","",N(E25)/IF($H25="",1,IFERROR(INDEX(Setup!$C$23:$C$46,MATCH($H25,Setup!$A$23:$A$46,0)),1)))</f>
        <v>0</v>
      </c>
      <c r="N25" s="114" t="n">
        <f aca="true">IF(A25="","",SUMIFS('Expense Log'!$K$5:$K$604,'Expense Log'!$F$5:$F$604,A25,'Expense Log'!$H$5:$H$604,DATE(YEAR(TODAY()),MONTH(TODAY()),1)))</f>
        <v>0</v>
      </c>
      <c r="O25" s="146" t="str">
        <f aca="false">IF(OR(A25="",N(K25)=0),"",N25/K25)</f>
        <v/>
      </c>
      <c r="P25" s="147" t="n">
        <f aca="false">IF(A25="","",K25*12)</f>
        <v>0</v>
      </c>
      <c r="Q25" s="148" t="str">
        <f aca="false">IF(OR(A25="",(Inputs!$B$16+Forecast!$C$41)=0),"",K25/(Inputs!$B$16+Forecast!$C$41))</f>
        <v/>
      </c>
      <c r="S25" s="154" t="str">
        <f aca="false">IF(Accounts!A5="","",Accounts!A5)</f>
        <v>Main checking</v>
      </c>
      <c r="T25" s="147" t="n">
        <f aca="false">IF(S25="","",SUMIFS($K$5:$K$34,$G$5:$G$34,S25,$F$5:$F$34,"&lt;15"))</f>
        <v>0</v>
      </c>
      <c r="U25" s="147" t="n">
        <f aca="false">IF(S25="","",SUMIFS($K$5:$K$34,$G$5:$G$34,S25,$F$5:$F$34,"&gt;=15"))</f>
        <v>0</v>
      </c>
      <c r="V25" s="147" t="n">
        <f aca="false">IF(S25="","",T25+U25)</f>
        <v>0</v>
      </c>
      <c r="X25" s="149" t="s">
        <v>733</v>
      </c>
    </row>
    <row r="26" customFormat="false" ht="15" hidden="false" customHeight="false" outlineLevel="0" collapsed="false">
      <c r="A26" s="108" t="s">
        <v>442</v>
      </c>
      <c r="B26" s="108" t="s">
        <v>238</v>
      </c>
      <c r="C26" s="142"/>
      <c r="D26" s="142"/>
      <c r="E26" s="142"/>
      <c r="F26" s="143" t="n">
        <v>1</v>
      </c>
      <c r="G26" s="108"/>
      <c r="H26" s="144"/>
      <c r="I26" s="108" t="s">
        <v>302</v>
      </c>
      <c r="J26" s="145"/>
      <c r="K26" s="114" t="n">
        <f aca="false">IF($A26="","",N(C26)/IF($H26="",1,IFERROR(INDEX(Setup!$C$23:$C$46,MATCH($H26,Setup!$A$23:$A$46,0)),1)))</f>
        <v>0</v>
      </c>
      <c r="L26" s="114" t="n">
        <f aca="false">IF($A26="","",N(D26)/IF($H26="",1,IFERROR(INDEX(Setup!$C$23:$C$46,MATCH($H26,Setup!$A$23:$A$46,0)),1)))</f>
        <v>0</v>
      </c>
      <c r="M26" s="114" t="n">
        <f aca="false">IF($A26="","",N(E26)/IF($H26="",1,IFERROR(INDEX(Setup!$C$23:$C$46,MATCH($H26,Setup!$A$23:$A$46,0)),1)))</f>
        <v>0</v>
      </c>
      <c r="N26" s="114" t="n">
        <f aca="true">IF(A26="","",SUMIFS('Expense Log'!$K$5:$K$604,'Expense Log'!$F$5:$F$604,A26,'Expense Log'!$H$5:$H$604,DATE(YEAR(TODAY()),MONTH(TODAY()),1)))</f>
        <v>0</v>
      </c>
      <c r="O26" s="146" t="str">
        <f aca="false">IF(OR(A26="",N(K26)=0),"",N26/K26)</f>
        <v/>
      </c>
      <c r="P26" s="147" t="n">
        <f aca="false">IF(A26="","",K26*12)</f>
        <v>0</v>
      </c>
      <c r="Q26" s="148" t="str">
        <f aca="false">IF(OR(A26="",(Inputs!$B$16+Forecast!$C$41)=0),"",K26/(Inputs!$B$16+Forecast!$C$41))</f>
        <v/>
      </c>
      <c r="S26" s="154" t="str">
        <f aca="false">IF(Accounts!A6="","",Accounts!A6)</f>
        <v>Savings</v>
      </c>
      <c r="T26" s="147" t="n">
        <f aca="false">IF(S26="","",SUMIFS($K$5:$K$34,$G$5:$G$34,S26,$F$5:$F$34,"&lt;15"))</f>
        <v>0</v>
      </c>
      <c r="U26" s="147" t="n">
        <f aca="false">IF(S26="","",SUMIFS($K$5:$K$34,$G$5:$G$34,S26,$F$5:$F$34,"&gt;=15"))</f>
        <v>0</v>
      </c>
      <c r="V26" s="147" t="n">
        <f aca="false">IF(S26="","",T26+U26)</f>
        <v>0</v>
      </c>
      <c r="X26" s="149" t="s">
        <v>734</v>
      </c>
    </row>
    <row r="27" customFormat="false" ht="15" hidden="false" customHeight="false" outlineLevel="0" collapsed="false">
      <c r="A27" s="108" t="s">
        <v>455</v>
      </c>
      <c r="B27" s="108" t="s">
        <v>238</v>
      </c>
      <c r="C27" s="142"/>
      <c r="D27" s="142"/>
      <c r="E27" s="142"/>
      <c r="F27" s="143" t="n">
        <v>15</v>
      </c>
      <c r="G27" s="108"/>
      <c r="H27" s="144"/>
      <c r="I27" s="108" t="s">
        <v>302</v>
      </c>
      <c r="J27" s="145" t="s">
        <v>735</v>
      </c>
      <c r="K27" s="114" t="n">
        <f aca="false">IF($A27="","",N(C27)/IF($H27="",1,IFERROR(INDEX(Setup!$C$23:$C$46,MATCH($H27,Setup!$A$23:$A$46,0)),1)))</f>
        <v>0</v>
      </c>
      <c r="L27" s="114" t="n">
        <f aca="false">IF($A27="","",N(D27)/IF($H27="",1,IFERROR(INDEX(Setup!$C$23:$C$46,MATCH($H27,Setup!$A$23:$A$46,0)),1)))</f>
        <v>0</v>
      </c>
      <c r="M27" s="114" t="n">
        <f aca="false">IF($A27="","",N(E27)/IF($H27="",1,IFERROR(INDEX(Setup!$C$23:$C$46,MATCH($H27,Setup!$A$23:$A$46,0)),1)))</f>
        <v>0</v>
      </c>
      <c r="N27" s="114" t="n">
        <f aca="true">IF(A27="","",SUMIFS('Expense Log'!$K$5:$K$604,'Expense Log'!$F$5:$F$604,A27,'Expense Log'!$H$5:$H$604,DATE(YEAR(TODAY()),MONTH(TODAY()),1)))</f>
        <v>0</v>
      </c>
      <c r="O27" s="146" t="str">
        <f aca="false">IF(OR(A27="",N(K27)=0),"",N27/K27)</f>
        <v/>
      </c>
      <c r="P27" s="147" t="n">
        <f aca="false">IF(A27="","",K27*12)</f>
        <v>0</v>
      </c>
      <c r="Q27" s="148" t="str">
        <f aca="false">IF(OR(A27="",(Inputs!$B$16+Forecast!$C$41)=0),"",K27/(Inputs!$B$16+Forecast!$C$41))</f>
        <v/>
      </c>
      <c r="S27" s="154" t="str">
        <f aca="false">IF(Accounts!A7="","",Accounts!A7)</f>
        <v>Partner checking</v>
      </c>
      <c r="T27" s="147" t="n">
        <f aca="false">IF(S27="","",SUMIFS($K$5:$K$34,$G$5:$G$34,S27,$F$5:$F$34,"&lt;15"))</f>
        <v>0</v>
      </c>
      <c r="U27" s="147" t="n">
        <f aca="false">IF(S27="","",SUMIFS($K$5:$K$34,$G$5:$G$34,S27,$F$5:$F$34,"&gt;=15"))</f>
        <v>0</v>
      </c>
      <c r="V27" s="147" t="n">
        <f aca="false">IF(S27="","",T27+U27)</f>
        <v>0</v>
      </c>
      <c r="X27" s="149" t="s">
        <v>736</v>
      </c>
    </row>
    <row r="28" customFormat="false" ht="15" hidden="false" customHeight="false" outlineLevel="0" collapsed="false">
      <c r="A28" s="108" t="s">
        <v>467</v>
      </c>
      <c r="B28" s="108" t="s">
        <v>275</v>
      </c>
      <c r="C28" s="142"/>
      <c r="D28" s="142"/>
      <c r="E28" s="142"/>
      <c r="F28" s="143" t="n">
        <v>1</v>
      </c>
      <c r="G28" s="108"/>
      <c r="H28" s="144"/>
      <c r="I28" s="108" t="s">
        <v>309</v>
      </c>
      <c r="J28" s="145"/>
      <c r="K28" s="114" t="n">
        <f aca="false">IF($A28="","",N(C28)/IF($H28="",1,IFERROR(INDEX(Setup!$C$23:$C$46,MATCH($H28,Setup!$A$23:$A$46,0)),1)))</f>
        <v>0</v>
      </c>
      <c r="L28" s="114" t="n">
        <f aca="false">IF($A28="","",N(D28)/IF($H28="",1,IFERROR(INDEX(Setup!$C$23:$C$46,MATCH($H28,Setup!$A$23:$A$46,0)),1)))</f>
        <v>0</v>
      </c>
      <c r="M28" s="114" t="n">
        <f aca="false">IF($A28="","",N(E28)/IF($H28="",1,IFERROR(INDEX(Setup!$C$23:$C$46,MATCH($H28,Setup!$A$23:$A$46,0)),1)))</f>
        <v>0</v>
      </c>
      <c r="N28" s="114" t="n">
        <f aca="true">IF(A28="","",SUMIFS('Expense Log'!$K$5:$K$604,'Expense Log'!$F$5:$F$604,A28,'Expense Log'!$H$5:$H$604,DATE(YEAR(TODAY()),MONTH(TODAY()),1)))</f>
        <v>0</v>
      </c>
      <c r="O28" s="146" t="str">
        <f aca="false">IF(OR(A28="",N(K28)=0),"",N28/K28)</f>
        <v/>
      </c>
      <c r="P28" s="147" t="n">
        <f aca="false">IF(A28="","",K28*12)</f>
        <v>0</v>
      </c>
      <c r="Q28" s="148" t="str">
        <f aca="false">IF(OR(A28="",(Inputs!$B$16+Forecast!$C$41)=0),"",K28/(Inputs!$B$16+Forecast!$C$41))</f>
        <v/>
      </c>
      <c r="S28" s="154" t="str">
        <f aca="false">IF(Accounts!A8="","",Accounts!A8)</f>
        <v>Partner savings</v>
      </c>
      <c r="T28" s="147" t="n">
        <f aca="false">IF(S28="","",SUMIFS($K$5:$K$34,$G$5:$G$34,S28,$F$5:$F$34,"&lt;15"))</f>
        <v>0</v>
      </c>
      <c r="U28" s="147" t="n">
        <f aca="false">IF(S28="","",SUMIFS($K$5:$K$34,$G$5:$G$34,S28,$F$5:$F$34,"&gt;=15"))</f>
        <v>0</v>
      </c>
      <c r="V28" s="147" t="n">
        <f aca="false">IF(S28="","",T28+U28)</f>
        <v>0</v>
      </c>
      <c r="X28" s="149" t="s">
        <v>737</v>
      </c>
    </row>
    <row r="29" customFormat="false" ht="15" hidden="false" customHeight="false" outlineLevel="0" collapsed="false">
      <c r="A29" s="108" t="s">
        <v>461</v>
      </c>
      <c r="B29" s="108" t="s">
        <v>275</v>
      </c>
      <c r="C29" s="142"/>
      <c r="D29" s="142"/>
      <c r="E29" s="142"/>
      <c r="F29" s="143" t="n">
        <v>1</v>
      </c>
      <c r="G29" s="108"/>
      <c r="H29" s="144"/>
      <c r="I29" s="108" t="s">
        <v>309</v>
      </c>
      <c r="J29" s="145"/>
      <c r="K29" s="114" t="n">
        <f aca="false">IF($A29="","",N(C29)/IF($H29="",1,IFERROR(INDEX(Setup!$C$23:$C$46,MATCH($H29,Setup!$A$23:$A$46,0)),1)))</f>
        <v>0</v>
      </c>
      <c r="L29" s="114" t="n">
        <f aca="false">IF($A29="","",N(D29)/IF($H29="",1,IFERROR(INDEX(Setup!$C$23:$C$46,MATCH($H29,Setup!$A$23:$A$46,0)),1)))</f>
        <v>0</v>
      </c>
      <c r="M29" s="114" t="n">
        <f aca="false">IF($A29="","",N(E29)/IF($H29="",1,IFERROR(INDEX(Setup!$C$23:$C$46,MATCH($H29,Setup!$A$23:$A$46,0)),1)))</f>
        <v>0</v>
      </c>
      <c r="N29" s="114" t="n">
        <f aca="true">IF(A29="","",SUMIFS('Expense Log'!$K$5:$K$604,'Expense Log'!$F$5:$F$604,A29,'Expense Log'!$H$5:$H$604,DATE(YEAR(TODAY()),MONTH(TODAY()),1)))</f>
        <v>0</v>
      </c>
      <c r="O29" s="146" t="str">
        <f aca="false">IF(OR(A29="",N(K29)=0),"",N29/K29)</f>
        <v/>
      </c>
      <c r="P29" s="147" t="n">
        <f aca="false">IF(A29="","",K29*12)</f>
        <v>0</v>
      </c>
      <c r="Q29" s="148" t="str">
        <f aca="false">IF(OR(A29="",(Inputs!$B$16+Forecast!$C$41)=0),"",K29/(Inputs!$B$16+Forecast!$C$41))</f>
        <v/>
      </c>
      <c r="S29" s="154" t="str">
        <f aca="false">IF(Accounts!A9="","",Accounts!A9)</f>
        <v>Joint checking</v>
      </c>
      <c r="T29" s="147" t="n">
        <f aca="false">IF(S29="","",SUMIFS($K$5:$K$34,$G$5:$G$34,S29,$F$5:$F$34,"&lt;15"))</f>
        <v>0</v>
      </c>
      <c r="U29" s="147" t="n">
        <f aca="false">IF(S29="","",SUMIFS($K$5:$K$34,$G$5:$G$34,S29,$F$5:$F$34,"&gt;=15"))</f>
        <v>0</v>
      </c>
      <c r="V29" s="147" t="n">
        <f aca="false">IF(S29="","",T29+U29)</f>
        <v>0</v>
      </c>
      <c r="X29" s="149" t="s">
        <v>738</v>
      </c>
    </row>
    <row r="30" customFormat="false" ht="15" hidden="false" customHeight="false" outlineLevel="0" collapsed="false">
      <c r="A30" s="108" t="s">
        <v>485</v>
      </c>
      <c r="B30" s="108" t="s">
        <v>275</v>
      </c>
      <c r="C30" s="142"/>
      <c r="D30" s="142"/>
      <c r="E30" s="142"/>
      <c r="F30" s="143" t="n">
        <v>1</v>
      </c>
      <c r="G30" s="108"/>
      <c r="H30" s="144"/>
      <c r="I30" s="108" t="s">
        <v>325</v>
      </c>
      <c r="J30" s="145"/>
      <c r="K30" s="114" t="n">
        <f aca="false">IF($A30="","",N(C30)/IF($H30="",1,IFERROR(INDEX(Setup!$C$23:$C$46,MATCH($H30,Setup!$A$23:$A$46,0)),1)))</f>
        <v>0</v>
      </c>
      <c r="L30" s="114" t="n">
        <f aca="false">IF($A30="","",N(D30)/IF($H30="",1,IFERROR(INDEX(Setup!$C$23:$C$46,MATCH($H30,Setup!$A$23:$A$46,0)),1)))</f>
        <v>0</v>
      </c>
      <c r="M30" s="114" t="n">
        <f aca="false">IF($A30="","",N(E30)/IF($H30="",1,IFERROR(INDEX(Setup!$C$23:$C$46,MATCH($H30,Setup!$A$23:$A$46,0)),1)))</f>
        <v>0</v>
      </c>
      <c r="N30" s="114" t="n">
        <f aca="true">IF(A30="","",SUMIFS('Expense Log'!$K$5:$K$604,'Expense Log'!$F$5:$F$604,A30,'Expense Log'!$H$5:$H$604,DATE(YEAR(TODAY()),MONTH(TODAY()),1)))</f>
        <v>0</v>
      </c>
      <c r="O30" s="146" t="str">
        <f aca="false">IF(OR(A30="",N(K30)=0),"",N30/K30)</f>
        <v/>
      </c>
      <c r="P30" s="147" t="n">
        <f aca="false">IF(A30="","",K30*12)</f>
        <v>0</v>
      </c>
      <c r="Q30" s="148" t="str">
        <f aca="false">IF(OR(A30="",(Inputs!$B$16+Forecast!$C$41)=0),"",K30/(Inputs!$B$16+Forecast!$C$41))</f>
        <v/>
      </c>
      <c r="S30" s="154" t="str">
        <f aca="false">IF(Accounts!A10="","",Accounts!A10)</f>
        <v>High-yield savings / money market</v>
      </c>
      <c r="T30" s="147" t="n">
        <f aca="false">IF(S30="","",SUMIFS($K$5:$K$34,$G$5:$G$34,S30,$F$5:$F$34,"&lt;15"))</f>
        <v>0</v>
      </c>
      <c r="U30" s="147" t="n">
        <f aca="false">IF(S30="","",SUMIFS($K$5:$K$34,$G$5:$G$34,S30,$F$5:$F$34,"&gt;=15"))</f>
        <v>0</v>
      </c>
      <c r="V30" s="147" t="n">
        <f aca="false">IF(S30="","",T30+U30)</f>
        <v>0</v>
      </c>
      <c r="X30" s="149" t="s">
        <v>739</v>
      </c>
    </row>
    <row r="31" customFormat="false" ht="15" hidden="false" customHeight="false" outlineLevel="0" collapsed="false">
      <c r="A31" s="108" t="s">
        <v>468</v>
      </c>
      <c r="B31" s="108" t="s">
        <v>275</v>
      </c>
      <c r="C31" s="142"/>
      <c r="D31" s="142"/>
      <c r="E31" s="142"/>
      <c r="F31" s="143" t="n">
        <v>1</v>
      </c>
      <c r="G31" s="108"/>
      <c r="H31" s="144"/>
      <c r="I31" s="108" t="s">
        <v>309</v>
      </c>
      <c r="J31" s="145"/>
      <c r="K31" s="114" t="n">
        <f aca="false">IF($A31="","",N(C31)/IF($H31="",1,IFERROR(INDEX(Setup!$C$23:$C$46,MATCH($H31,Setup!$A$23:$A$46,0)),1)))</f>
        <v>0</v>
      </c>
      <c r="L31" s="114" t="n">
        <f aca="false">IF($A31="","",N(D31)/IF($H31="",1,IFERROR(INDEX(Setup!$C$23:$C$46,MATCH($H31,Setup!$A$23:$A$46,0)),1)))</f>
        <v>0</v>
      </c>
      <c r="M31" s="114" t="n">
        <f aca="false">IF($A31="","",N(E31)/IF($H31="",1,IFERROR(INDEX(Setup!$C$23:$C$46,MATCH($H31,Setup!$A$23:$A$46,0)),1)))</f>
        <v>0</v>
      </c>
      <c r="N31" s="114" t="n">
        <f aca="true">IF(A31="","",SUMIFS('Expense Log'!$K$5:$K$604,'Expense Log'!$F$5:$F$604,A31,'Expense Log'!$H$5:$H$604,DATE(YEAR(TODAY()),MONTH(TODAY()),1)))</f>
        <v>0</v>
      </c>
      <c r="O31" s="146" t="str">
        <f aca="false">IF(OR(A31="",N(K31)=0),"",N31/K31)</f>
        <v/>
      </c>
      <c r="P31" s="147" t="n">
        <f aca="false">IF(A31="","",K31*12)</f>
        <v>0</v>
      </c>
      <c r="Q31" s="148" t="str">
        <f aca="false">IF(OR(A31="",(Inputs!$B$16+Forecast!$C$41)=0),"",K31/(Inputs!$B$16+Forecast!$C$41))</f>
        <v/>
      </c>
      <c r="S31" s="151" t="s">
        <v>723</v>
      </c>
      <c r="T31" s="152" t="n">
        <f aca="false">SUM(T25:T30)</f>
        <v>0</v>
      </c>
      <c r="U31" s="152" t="n">
        <f aca="false">SUM(U25:U30)</f>
        <v>0</v>
      </c>
      <c r="V31" s="152" t="n">
        <f aca="false">SUM(V25:V30)</f>
        <v>0</v>
      </c>
      <c r="X31" s="149" t="s">
        <v>740</v>
      </c>
    </row>
    <row r="32" customFormat="false" ht="15" hidden="false" customHeight="false" outlineLevel="0" collapsed="false">
      <c r="A32" s="108" t="s">
        <v>430</v>
      </c>
      <c r="B32" s="108" t="s">
        <v>238</v>
      </c>
      <c r="C32" s="142"/>
      <c r="D32" s="142"/>
      <c r="E32" s="142"/>
      <c r="F32" s="143" t="n">
        <v>1</v>
      </c>
      <c r="G32" s="108"/>
      <c r="H32" s="144"/>
      <c r="I32" s="108" t="s">
        <v>295</v>
      </c>
      <c r="J32" s="145" t="s">
        <v>741</v>
      </c>
      <c r="K32" s="114" t="n">
        <f aca="false">IF($A32="","",N(C32)/IF($H32="",1,IFERROR(INDEX(Setup!$C$23:$C$46,MATCH($H32,Setup!$A$23:$A$46,0)),1)))</f>
        <v>0</v>
      </c>
      <c r="L32" s="114" t="n">
        <f aca="false">IF($A32="","",N(D32)/IF($H32="",1,IFERROR(INDEX(Setup!$C$23:$C$46,MATCH($H32,Setup!$A$23:$A$46,0)),1)))</f>
        <v>0</v>
      </c>
      <c r="M32" s="114" t="n">
        <f aca="false">IF($A32="","",N(E32)/IF($H32="",1,IFERROR(INDEX(Setup!$C$23:$C$46,MATCH($H32,Setup!$A$23:$A$46,0)),1)))</f>
        <v>0</v>
      </c>
      <c r="N32" s="114" t="n">
        <f aca="true">IF(A32="","",SUMIFS('Expense Log'!$K$5:$K$604,'Expense Log'!$F$5:$F$604,A32,'Expense Log'!$H$5:$H$604,DATE(YEAR(TODAY()),MONTH(TODAY()),1)))</f>
        <v>0</v>
      </c>
      <c r="O32" s="146" t="str">
        <f aca="false">IF(OR(A32="",N(K32)=0),"",N32/K32)</f>
        <v/>
      </c>
      <c r="P32" s="147" t="n">
        <f aca="false">IF(A32="","",K32*12)</f>
        <v>0</v>
      </c>
      <c r="Q32" s="148" t="str">
        <f aca="false">IF(OR(A32="",(Inputs!$B$16+Forecast!$C$41)=0),"",K32/(Inputs!$B$16+Forecast!$C$41))</f>
        <v/>
      </c>
      <c r="S32" s="21" t="s">
        <v>742</v>
      </c>
      <c r="X32" s="149" t="s">
        <v>743</v>
      </c>
    </row>
    <row r="33" customFormat="false" ht="15" hidden="false" customHeight="false" outlineLevel="0" collapsed="false">
      <c r="A33" s="108" t="s">
        <v>308</v>
      </c>
      <c r="B33" s="108" t="s">
        <v>238</v>
      </c>
      <c r="C33" s="142"/>
      <c r="D33" s="142"/>
      <c r="E33" s="142"/>
      <c r="F33" s="143" t="n">
        <v>1</v>
      </c>
      <c r="G33" s="108"/>
      <c r="H33" s="144"/>
      <c r="I33" s="108" t="s">
        <v>295</v>
      </c>
      <c r="J33" s="145"/>
      <c r="K33" s="114" t="n">
        <f aca="false">IF($A33="","",N(C33)/IF($H33="",1,IFERROR(INDEX(Setup!$C$23:$C$46,MATCH($H33,Setup!$A$23:$A$46,0)),1)))</f>
        <v>0</v>
      </c>
      <c r="L33" s="114" t="n">
        <f aca="false">IF($A33="","",N(D33)/IF($H33="",1,IFERROR(INDEX(Setup!$C$23:$C$46,MATCH($H33,Setup!$A$23:$A$46,0)),1)))</f>
        <v>0</v>
      </c>
      <c r="M33" s="114" t="n">
        <f aca="false">IF($A33="","",N(E33)/IF($H33="",1,IFERROR(INDEX(Setup!$C$23:$C$46,MATCH($H33,Setup!$A$23:$A$46,0)),1)))</f>
        <v>0</v>
      </c>
      <c r="N33" s="114" t="n">
        <f aca="true">IF(A33="","",SUMIFS('Expense Log'!$K$5:$K$604,'Expense Log'!$F$5:$F$604,A33,'Expense Log'!$H$5:$H$604,DATE(YEAR(TODAY()),MONTH(TODAY()),1)))</f>
        <v>0</v>
      </c>
      <c r="O33" s="146" t="str">
        <f aca="false">IF(OR(A33="",N(K33)=0),"",N33/K33)</f>
        <v/>
      </c>
      <c r="P33" s="147" t="n">
        <f aca="false">IF(A33="","",K33*12)</f>
        <v>0</v>
      </c>
      <c r="Q33" s="148" t="str">
        <f aca="false">IF(OR(A33="",(Inputs!$B$16+Forecast!$C$41)=0),"",K33/(Inputs!$B$16+Forecast!$C$41))</f>
        <v/>
      </c>
      <c r="X33" s="149" t="s">
        <v>744</v>
      </c>
    </row>
    <row r="34" customFormat="false" ht="18.75" hidden="false" customHeight="true" outlineLevel="0" collapsed="false">
      <c r="A34" s="108" t="s">
        <v>517</v>
      </c>
      <c r="B34" s="108" t="s">
        <v>275</v>
      </c>
      <c r="C34" s="142"/>
      <c r="D34" s="142"/>
      <c r="E34" s="142"/>
      <c r="F34" s="143" t="n">
        <v>1</v>
      </c>
      <c r="G34" s="108"/>
      <c r="H34" s="144"/>
      <c r="I34" s="108" t="s">
        <v>354</v>
      </c>
      <c r="J34" s="145" t="s">
        <v>745</v>
      </c>
      <c r="K34" s="114" t="n">
        <f aca="false">IF($A34="","",N(C34)/IF($H34="",1,IFERROR(INDEX(Setup!$C$23:$C$46,MATCH($H34,Setup!$A$23:$A$46,0)),1)))</f>
        <v>0</v>
      </c>
      <c r="L34" s="114" t="n">
        <f aca="false">IF($A34="","",N(D34)/IF($H34="",1,IFERROR(INDEX(Setup!$C$23:$C$46,MATCH($H34,Setup!$A$23:$A$46,0)),1)))</f>
        <v>0</v>
      </c>
      <c r="M34" s="114" t="n">
        <f aca="false">IF($A34="","",N(E34)/IF($H34="",1,IFERROR(INDEX(Setup!$C$23:$C$46,MATCH($H34,Setup!$A$23:$A$46,0)),1)))</f>
        <v>0</v>
      </c>
      <c r="N34" s="114" t="n">
        <f aca="true">IF(A34="","",SUMIFS('Expense Log'!$K$5:$K$604,'Expense Log'!$F$5:$F$604,A34,'Expense Log'!$H$5:$H$604,DATE(YEAR(TODAY()),MONTH(TODAY()),1)))</f>
        <v>0</v>
      </c>
      <c r="O34" s="146" t="str">
        <f aca="false">IF(OR(A34="",N(K34)=0),"",N34/K34)</f>
        <v/>
      </c>
      <c r="P34" s="147" t="n">
        <f aca="false">IF(A34="","",K34*12)</f>
        <v>0</v>
      </c>
      <c r="Q34" s="148" t="str">
        <f aca="false">IF(OR(A34="",(Inputs!$B$16+Forecast!$C$41)=0),"",K34/(Inputs!$B$16+Forecast!$C$41))</f>
        <v/>
      </c>
      <c r="S34" s="56" t="s">
        <v>746</v>
      </c>
      <c r="T34" s="3"/>
      <c r="U34" s="3"/>
      <c r="V34" s="3"/>
      <c r="X34" s="149" t="s">
        <v>747</v>
      </c>
    </row>
    <row r="35" customFormat="false" ht="19.5" hidden="false" customHeight="true" outlineLevel="0" collapsed="false">
      <c r="S35" s="107" t="s">
        <v>748</v>
      </c>
      <c r="T35" s="107" t="s">
        <v>749</v>
      </c>
      <c r="U35" s="107" t="s">
        <v>48</v>
      </c>
      <c r="V35" s="107" t="s">
        <v>750</v>
      </c>
    </row>
    <row r="36" customFormat="false" ht="15" hidden="false" customHeight="false" outlineLevel="0" collapsed="false">
      <c r="A36" s="151" t="s">
        <v>751</v>
      </c>
      <c r="B36" s="155"/>
      <c r="C36" s="152" t="n">
        <f aca="false">K36</f>
        <v>0</v>
      </c>
      <c r="D36" s="152" t="n">
        <f aca="false">L36</f>
        <v>0</v>
      </c>
      <c r="E36" s="152" t="n">
        <f aca="false">M36</f>
        <v>0</v>
      </c>
      <c r="F36" s="155"/>
      <c r="G36" s="155"/>
      <c r="H36" s="155"/>
      <c r="I36" s="155"/>
      <c r="J36" s="155"/>
      <c r="K36" s="152" t="n">
        <f aca="false">SUMIF($B$5:$B$34,"Fixed",K$5:K$34)</f>
        <v>0</v>
      </c>
      <c r="L36" s="152" t="n">
        <f aca="false">SUMIF($B$5:$B$34,"Fixed",L$5:L$34)</f>
        <v>0</v>
      </c>
      <c r="M36" s="152" t="n">
        <f aca="false">SUMIF($B$5:$B$34,"Fixed",M$5:M$34)</f>
        <v>0</v>
      </c>
      <c r="S36" s="156" t="s">
        <v>752</v>
      </c>
      <c r="T36" s="157" t="n">
        <f aca="false">COUNTIFS($F$5:$F$34,"&gt;=1",$F$5:$F$34,"&lt;=4",$K$5:$K$34,"&gt;0")</f>
        <v>0</v>
      </c>
      <c r="U36" s="147" t="n">
        <f aca="false">SUMIFS($K$5:$K$34,$F$5:$F$34,"&gt;=1",$F$5:$F$34,"&lt;=4")</f>
        <v>0</v>
      </c>
      <c r="V36" s="147" t="n">
        <f aca="false">SUM($U$36:U36)</f>
        <v>0</v>
      </c>
    </row>
    <row r="37" customFormat="false" ht="15" hidden="false" customHeight="false" outlineLevel="0" collapsed="false">
      <c r="A37" s="151" t="s">
        <v>753</v>
      </c>
      <c r="B37" s="155"/>
      <c r="C37" s="152" t="n">
        <f aca="false">K37</f>
        <v>0</v>
      </c>
      <c r="D37" s="152" t="n">
        <f aca="false">L37</f>
        <v>0</v>
      </c>
      <c r="E37" s="152" t="n">
        <f aca="false">M37</f>
        <v>0</v>
      </c>
      <c r="F37" s="155"/>
      <c r="G37" s="155"/>
      <c r="H37" s="155"/>
      <c r="I37" s="155"/>
      <c r="J37" s="155"/>
      <c r="K37" s="152" t="n">
        <f aca="false">SUMIF($B$5:$B$34,"Flexible",K$5:K$34)</f>
        <v>0</v>
      </c>
      <c r="L37" s="152" t="n">
        <f aca="false">SUMIF($B$5:$B$34,"Flexible",L$5:L$34)</f>
        <v>0</v>
      </c>
      <c r="M37" s="152" t="n">
        <f aca="false">SUMIF($B$5:$B$34,"Flexible",M$5:M$34)</f>
        <v>0</v>
      </c>
      <c r="S37" s="156" t="s">
        <v>754</v>
      </c>
      <c r="T37" s="157" t="n">
        <f aca="false">COUNTIFS($F$5:$F$34,"&gt;=5",$F$5:$F$34,"&lt;=9",$K$5:$K$34,"&gt;0")</f>
        <v>0</v>
      </c>
      <c r="U37" s="147" t="n">
        <f aca="false">SUMIFS($K$5:$K$34,$F$5:$F$34,"&gt;=5",$F$5:$F$34,"&lt;=9")</f>
        <v>0</v>
      </c>
      <c r="V37" s="147" t="n">
        <f aca="false">SUM($U$36:U37)</f>
        <v>0</v>
      </c>
    </row>
    <row r="38" customFormat="false" ht="15" hidden="false" customHeight="false" outlineLevel="0" collapsed="false">
      <c r="A38" s="151" t="s">
        <v>755</v>
      </c>
      <c r="B38" s="155"/>
      <c r="C38" s="152" t="n">
        <f aca="false">K38</f>
        <v>0</v>
      </c>
      <c r="D38" s="152" t="n">
        <f aca="false">L38</f>
        <v>0</v>
      </c>
      <c r="E38" s="152" t="n">
        <f aca="false">M38</f>
        <v>0</v>
      </c>
      <c r="F38" s="155"/>
      <c r="G38" s="155"/>
      <c r="H38" s="155"/>
      <c r="I38" s="155"/>
      <c r="J38" s="155"/>
      <c r="K38" s="152" t="n">
        <f aca="false">SUM(K5:K34)</f>
        <v>0</v>
      </c>
      <c r="L38" s="152" t="n">
        <f aca="false">SUM(L5:L34)</f>
        <v>0</v>
      </c>
      <c r="M38" s="152" t="n">
        <f aca="false">SUM(M5:M34)</f>
        <v>0</v>
      </c>
      <c r="N38" s="152" t="n">
        <f aca="false">SUM(N5:N34)</f>
        <v>86.42</v>
      </c>
      <c r="O38" s="153" t="str">
        <f aca="false">IF(K38=0,"",N38/K38)</f>
        <v/>
      </c>
      <c r="P38" s="152" t="n">
        <f aca="false">SUM(P5:P34)</f>
        <v>0</v>
      </c>
      <c r="Q38" s="153" t="str">
        <f aca="false">IF((Inputs!$B$16+Forecast!$C$41)=0,"",K38/(Inputs!$B$16+Forecast!$C$41))</f>
        <v/>
      </c>
      <c r="S38" s="156" t="s">
        <v>756</v>
      </c>
      <c r="T38" s="157" t="n">
        <f aca="false">COUNTIFS($F$5:$F$34,"&gt;=10",$F$5:$F$34,"&lt;=14",$K$5:$K$34,"&gt;0")</f>
        <v>0</v>
      </c>
      <c r="U38" s="147" t="n">
        <f aca="false">SUMIFS($K$5:$K$34,$F$5:$F$34,"&gt;=10",$F$5:$F$34,"&lt;=14")</f>
        <v>0</v>
      </c>
      <c r="V38" s="147" t="n">
        <f aca="false">SUM($U$36:U38)</f>
        <v>0</v>
      </c>
    </row>
    <row r="39" customFormat="false" ht="15" hidden="false" customHeight="false" outlineLevel="0" collapsed="false">
      <c r="A39" s="21" t="s">
        <v>757</v>
      </c>
      <c r="S39" s="156" t="s">
        <v>758</v>
      </c>
      <c r="T39" s="157" t="n">
        <f aca="false">COUNTIFS($F$5:$F$34,"&gt;=15",$F$5:$F$34,"&lt;=15",$K$5:$K$34,"&gt;0")</f>
        <v>0</v>
      </c>
      <c r="U39" s="147" t="n">
        <f aca="false">SUMIFS($K$5:$K$34,$F$5:$F$34,"&gt;=15",$F$5:$F$34,"&lt;=15")</f>
        <v>0</v>
      </c>
      <c r="V39" s="147" t="n">
        <f aca="false">SUM($U$36:U39)</f>
        <v>0</v>
      </c>
    </row>
    <row r="40" customFormat="false" ht="15" hidden="false" customHeight="false" outlineLevel="0" collapsed="false">
      <c r="A40" s="21" t="s">
        <v>759</v>
      </c>
      <c r="S40" s="156" t="s">
        <v>760</v>
      </c>
      <c r="T40" s="157" t="n">
        <f aca="false">COUNTIFS($F$5:$F$34,"&gt;=16",$F$5:$F$34,"&lt;=19",$K$5:$K$34,"&gt;0")</f>
        <v>0</v>
      </c>
      <c r="U40" s="147" t="n">
        <f aca="false">SUMIFS($K$5:$K$34,$F$5:$F$34,"&gt;=16",$F$5:$F$34,"&lt;=19")</f>
        <v>0</v>
      </c>
      <c r="V40" s="147" t="n">
        <f aca="false">SUM($U$36:U40)</f>
        <v>0</v>
      </c>
    </row>
    <row r="41" customFormat="false" ht="15" hidden="false" customHeight="false" outlineLevel="0" collapsed="false">
      <c r="S41" s="156" t="s">
        <v>761</v>
      </c>
      <c r="T41" s="157" t="n">
        <f aca="false">COUNTIFS($F$5:$F$34,"&gt;=20",$F$5:$F$34,"&lt;=24",$K$5:$K$34,"&gt;0")</f>
        <v>0</v>
      </c>
      <c r="U41" s="147" t="n">
        <f aca="false">SUMIFS($K$5:$K$34,$F$5:$F$34,"&gt;=20",$F$5:$F$34,"&lt;=24")</f>
        <v>0</v>
      </c>
      <c r="V41" s="147" t="n">
        <f aca="false">SUM($U$36:U41)</f>
        <v>0</v>
      </c>
    </row>
    <row r="42" customFormat="false" ht="15" hidden="false" customHeight="false" outlineLevel="0" collapsed="false">
      <c r="S42" s="156" t="s">
        <v>762</v>
      </c>
      <c r="T42" s="157" t="n">
        <f aca="false">COUNTIFS($F$5:$F$34,"&gt;=25",$F$5:$F$34,"&lt;=27",$K$5:$K$34,"&gt;0")</f>
        <v>0</v>
      </c>
      <c r="U42" s="147" t="n">
        <f aca="false">SUMIFS($K$5:$K$34,$F$5:$F$34,"&gt;=25",$F$5:$F$34,"&lt;=27")</f>
        <v>0</v>
      </c>
      <c r="V42" s="147" t="n">
        <f aca="false">SUM($U$36:U42)</f>
        <v>0</v>
      </c>
    </row>
    <row r="43" customFormat="false" ht="15" hidden="false" customHeight="false" outlineLevel="0" collapsed="false">
      <c r="S43" s="156" t="s">
        <v>763</v>
      </c>
      <c r="T43" s="157" t="n">
        <f aca="false">COUNTIFS($F$5:$F$34,"&gt;=28",$F$5:$F$34,"&lt;=31",$K$5:$K$34,"&gt;0")</f>
        <v>0</v>
      </c>
      <c r="U43" s="147" t="n">
        <f aca="false">SUMIFS($K$5:$K$34,$F$5:$F$34,"&gt;=28",$F$5:$F$34,"&lt;=31")</f>
        <v>0</v>
      </c>
      <c r="V43" s="147" t="n">
        <f aca="false">SUM($U$36:U43)</f>
        <v>0</v>
      </c>
    </row>
  </sheetData>
  <sheetProtection sheet="true" scenarios="true" formatCells="false" formatColumns="false" formatRows="false" sort="false" autoFilter="false"/>
  <mergeCells count="8">
    <mergeCell ref="C2:D2"/>
    <mergeCell ref="E2:F2"/>
    <mergeCell ref="I2:J2"/>
    <mergeCell ref="K2:M2"/>
    <mergeCell ref="C3:D3"/>
    <mergeCell ref="E3:F3"/>
    <mergeCell ref="I3:J3"/>
    <mergeCell ref="K3:M3"/>
  </mergeCells>
  <conditionalFormatting sqref="A5:Q34">
    <cfRule type="expression" priority="2" aboveAverage="0" equalAverage="0" bottom="0" percent="0" rank="0" text="" dxfId="5">
      <formula>MOD(ROW(),2)=0</formula>
    </cfRule>
  </conditionalFormatting>
  <conditionalFormatting sqref="O5:O34">
    <cfRule type="dataBar" priority="3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{45AB9E21-CD23-49F6-91A5-D1EAD2EEE084}</x14:id>
        </ext>
      </extLst>
    </cfRule>
    <cfRule type="cellIs" priority="4" operator="greaterThan" aboveAverage="0" equalAverage="0" bottom="0" percent="0" rank="0" text="" dxfId="7">
      <formula>1</formula>
    </cfRule>
  </conditionalFormatting>
  <conditionalFormatting sqref="A5:J34">
    <cfRule type="expression" priority="5" aboveAverage="0" equalAverage="0" bottom="0" percent="0" rank="0" text="" dxfId="8">
      <formula>$B5="Flexible"</formula>
    </cfRule>
  </conditionalFormatting>
  <conditionalFormatting sqref="K5:M34">
    <cfRule type="expression" priority="6" aboveAverage="0" equalAverage="0" bottom="0" percent="0" rank="0" text="" dxfId="9">
      <formula>$H5&lt;&gt;""</formula>
    </cfRule>
  </conditionalFormatting>
  <conditionalFormatting sqref="V6:V20">
    <cfRule type="dataBar" priority="7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{EF9486CF-AB78-4CD8-B851-FED31A3F90A0}</x14:id>
        </ext>
      </extLst>
    </cfRule>
  </conditionalFormatting>
  <conditionalFormatting sqref="U36:U43">
    <cfRule type="dataBar" priority="8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{7885618F-58E9-43AD-9E86-8DBEA58DBD52}</x14:id>
        </ext>
      </extLst>
    </cfRule>
  </conditionalFormatting>
  <dataValidations count="5">
    <dataValidation allowBlank="false" errorStyle="stop" operator="between" showDropDown="false" showErrorMessage="false" showInputMessage="false" sqref="B5:B34" type="list">
      <formula1>"Fixed,Flexible"</formula1>
      <formula2>0</formula2>
    </dataValidation>
    <dataValidation allowBlank="true" errorStyle="stop" operator="between" showDropDown="false" showErrorMessage="false" showInputMessage="false" sqref="I5:I34" type="list">
      <formula1>Lists!$T$5:$T$59</formula1>
      <formula2>0</formula2>
    </dataValidation>
    <dataValidation allowBlank="true" errorStyle="stop" operator="between" showDropDown="false" showErrorMessage="false" showInputMessage="false" sqref="A5:A34" type="list">
      <formula1>Lists!$A$5:$A$118</formula1>
      <formula2>0</formula2>
    </dataValidation>
    <dataValidation allowBlank="true" errorStyle="stop" operator="between" showDropDown="false" showErrorMessage="false" showInputMessage="false" sqref="H5:H34" type="list">
      <formula1>Setup!$A$23:$A$46</formula1>
      <formula2>0</formula2>
    </dataValidation>
    <dataValidation allowBlank="true" errorStyle="stop" operator="between" showDropDown="false" showErrorMessage="false" showInputMessage="false" sqref="G5:G34" type="list">
      <formula1>Accounts!$A$5:$A$15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Budget&amp;R&amp;8 Page &amp;P of &amp;N · printed &amp;D</oddFooter>
  </headerFooter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5AB9E21-CD23-49F6-91A5-D1EAD2EEE084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O5:O34</xm:sqref>
        </x14:conditionalFormatting>
        <x14:conditionalFormatting xmlns:xm="http://schemas.microsoft.com/office/excel/2006/main">
          <x14:cfRule type="dataBar" id="{EF9486CF-AB78-4CD8-B851-FED31A3F90A0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V6:V20</xm:sqref>
        </x14:conditionalFormatting>
        <x14:conditionalFormatting xmlns:xm="http://schemas.microsoft.com/office/excel/2006/main">
          <x14:cfRule type="dataBar" id="{7885618F-58E9-43AD-9E86-8DBEA58DBD52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U36:U43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5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764</v>
      </c>
    </row>
    <row r="3" customFormat="false" ht="15" hidden="false" customHeight="false" outlineLevel="0" collapsed="false">
      <c r="A3" s="21" t="s">
        <v>765</v>
      </c>
    </row>
    <row r="4" customFormat="false" ht="19.5" hidden="false" customHeight="true" outlineLevel="0" collapsed="false">
      <c r="A4" s="107" t="s">
        <v>766</v>
      </c>
      <c r="B4" s="107" t="s">
        <v>767</v>
      </c>
      <c r="C4" s="107" t="s">
        <v>768</v>
      </c>
      <c r="D4" s="107" t="s">
        <v>731</v>
      </c>
      <c r="E4" s="107" t="s">
        <v>160</v>
      </c>
      <c r="F4" s="107" t="s">
        <v>769</v>
      </c>
      <c r="G4" s="107" t="s">
        <v>163</v>
      </c>
    </row>
    <row r="5" customFormat="false" ht="15" hidden="false" customHeight="false" outlineLevel="0" collapsed="false">
      <c r="A5" s="108" t="s">
        <v>770</v>
      </c>
      <c r="B5" s="108" t="s">
        <v>771</v>
      </c>
      <c r="C5" s="142"/>
      <c r="D5" s="158"/>
      <c r="E5" s="144"/>
      <c r="F5" s="159" t="n">
        <f aca="false">IF(A5="","",N(C5)/IF(E5="",1,IFERROR(INDEX(Setup!$C$23:$C$46,MATCH(E5,Setup!$A$23:$A$46,0)),1)))</f>
        <v>0</v>
      </c>
      <c r="G5" s="145" t="s">
        <v>772</v>
      </c>
    </row>
    <row r="6" customFormat="false" ht="15" hidden="false" customHeight="false" outlineLevel="0" collapsed="false">
      <c r="A6" s="108" t="s">
        <v>773</v>
      </c>
      <c r="B6" s="108" t="s">
        <v>771</v>
      </c>
      <c r="C6" s="142"/>
      <c r="D6" s="158"/>
      <c r="E6" s="144"/>
      <c r="F6" s="159" t="n">
        <f aca="false">IF(A6="","",N(C6)/IF(E6="",1,IFERROR(INDEX(Setup!$C$23:$C$46,MATCH(E6,Setup!$A$23:$A$46,0)),1)))</f>
        <v>0</v>
      </c>
      <c r="G6" s="145" t="s">
        <v>774</v>
      </c>
    </row>
    <row r="7" customFormat="false" ht="15" hidden="false" customHeight="false" outlineLevel="0" collapsed="false">
      <c r="A7" s="108" t="s">
        <v>775</v>
      </c>
      <c r="B7" s="108" t="s">
        <v>771</v>
      </c>
      <c r="C7" s="142"/>
      <c r="D7" s="158"/>
      <c r="E7" s="144"/>
      <c r="F7" s="159" t="n">
        <f aca="false">IF(A7="","",N(C7)/IF(E7="",1,IFERROR(INDEX(Setup!$C$23:$C$46,MATCH(E7,Setup!$A$23:$A$46,0)),1)))</f>
        <v>0</v>
      </c>
      <c r="G7" s="145"/>
    </row>
    <row r="8" customFormat="false" ht="15" hidden="false" customHeight="false" outlineLevel="0" collapsed="false">
      <c r="A8" s="108" t="s">
        <v>776</v>
      </c>
      <c r="B8" s="108" t="s">
        <v>771</v>
      </c>
      <c r="C8" s="142"/>
      <c r="D8" s="158"/>
      <c r="E8" s="144"/>
      <c r="F8" s="159" t="n">
        <f aca="false">IF(A8="","",N(C8)/IF(E8="",1,IFERROR(INDEX(Setup!$C$23:$C$46,MATCH(E8,Setup!$A$23:$A$46,0)),1)))</f>
        <v>0</v>
      </c>
      <c r="G8" s="145"/>
    </row>
    <row r="9" customFormat="false" ht="15" hidden="false" customHeight="false" outlineLevel="0" collapsed="false">
      <c r="A9" s="108" t="s">
        <v>777</v>
      </c>
      <c r="B9" s="108" t="s">
        <v>771</v>
      </c>
      <c r="C9" s="142"/>
      <c r="D9" s="158"/>
      <c r="E9" s="144"/>
      <c r="F9" s="159" t="n">
        <f aca="false">IF(A9="","",N(C9)/IF(E9="",1,IFERROR(INDEX(Setup!$C$23:$C$46,MATCH(E9,Setup!$A$23:$A$46,0)),1)))</f>
        <v>0</v>
      </c>
      <c r="G9" s="145"/>
    </row>
    <row r="10" customFormat="false" ht="15" hidden="false" customHeight="false" outlineLevel="0" collapsed="false">
      <c r="A10" s="108" t="s">
        <v>778</v>
      </c>
      <c r="B10" s="108" t="s">
        <v>771</v>
      </c>
      <c r="C10" s="142"/>
      <c r="D10" s="158"/>
      <c r="E10" s="144"/>
      <c r="F10" s="159" t="n">
        <f aca="false">IF(A10="","",N(C10)/IF(E10="",1,IFERROR(INDEX(Setup!$C$23:$C$46,MATCH(E10,Setup!$A$23:$A$46,0)),1)))</f>
        <v>0</v>
      </c>
      <c r="G10" s="145"/>
    </row>
    <row r="11" customFormat="false" ht="15" hidden="false" customHeight="false" outlineLevel="0" collapsed="false">
      <c r="A11" s="108" t="s">
        <v>779</v>
      </c>
      <c r="B11" s="108" t="s">
        <v>771</v>
      </c>
      <c r="C11" s="142"/>
      <c r="D11" s="158"/>
      <c r="E11" s="144"/>
      <c r="F11" s="159" t="n">
        <f aca="false">IF(A11="","",N(C11)/IF(E11="",1,IFERROR(INDEX(Setup!$C$23:$C$46,MATCH(E11,Setup!$A$23:$A$46,0)),1)))</f>
        <v>0</v>
      </c>
      <c r="G11" s="145"/>
    </row>
    <row r="12" customFormat="false" ht="15" hidden="false" customHeight="false" outlineLevel="0" collapsed="false">
      <c r="A12" s="108" t="s">
        <v>780</v>
      </c>
      <c r="B12" s="108" t="s">
        <v>771</v>
      </c>
      <c r="C12" s="142"/>
      <c r="D12" s="158"/>
      <c r="E12" s="144"/>
      <c r="F12" s="159" t="n">
        <f aca="false">IF(A12="","",N(C12)/IF(E12="",1,IFERROR(INDEX(Setup!$C$23:$C$46,MATCH(E12,Setup!$A$23:$A$46,0)),1)))</f>
        <v>0</v>
      </c>
      <c r="G12" s="145"/>
    </row>
    <row r="13" customFormat="false" ht="15" hidden="false" customHeight="false" outlineLevel="0" collapsed="false">
      <c r="A13" s="108" t="s">
        <v>781</v>
      </c>
      <c r="B13" s="108" t="s">
        <v>771</v>
      </c>
      <c r="C13" s="142"/>
      <c r="D13" s="158"/>
      <c r="E13" s="144"/>
      <c r="F13" s="159" t="n">
        <f aca="false">IF(A13="","",N(C13)/IF(E13="",1,IFERROR(INDEX(Setup!$C$23:$C$46,MATCH(E13,Setup!$A$23:$A$46,0)),1)))</f>
        <v>0</v>
      </c>
      <c r="G13" s="145"/>
    </row>
    <row r="14" customFormat="false" ht="15" hidden="false" customHeight="false" outlineLevel="0" collapsed="false">
      <c r="A14" s="108" t="s">
        <v>782</v>
      </c>
      <c r="B14" s="108" t="s">
        <v>771</v>
      </c>
      <c r="C14" s="142"/>
      <c r="D14" s="158"/>
      <c r="E14" s="144"/>
      <c r="F14" s="159" t="n">
        <f aca="false">IF(A14="","",N(C14)/IF(E14="",1,IFERROR(INDEX(Setup!$C$23:$C$46,MATCH(E14,Setup!$A$23:$A$46,0)),1)))</f>
        <v>0</v>
      </c>
      <c r="G14" s="145"/>
    </row>
    <row r="15" customFormat="false" ht="15" hidden="false" customHeight="false" outlineLevel="0" collapsed="false">
      <c r="A15" s="108" t="s">
        <v>678</v>
      </c>
      <c r="B15" s="108" t="s">
        <v>771</v>
      </c>
      <c r="C15" s="142"/>
      <c r="D15" s="158"/>
      <c r="E15" s="144"/>
      <c r="F15" s="159" t="n">
        <f aca="false">IF(A15="","",N(C15)/IF(E15="",1,IFERROR(INDEX(Setup!$C$23:$C$46,MATCH(E15,Setup!$A$23:$A$46,0)),1)))</f>
        <v>0</v>
      </c>
      <c r="G15" s="145" t="s">
        <v>783</v>
      </c>
    </row>
    <row r="16" customFormat="false" ht="15" hidden="false" customHeight="false" outlineLevel="0" collapsed="false">
      <c r="A16" s="108" t="s">
        <v>378</v>
      </c>
      <c r="B16" s="108" t="s">
        <v>784</v>
      </c>
      <c r="C16" s="142"/>
      <c r="D16" s="158"/>
      <c r="E16" s="144"/>
      <c r="F16" s="159" t="n">
        <f aca="false">IF(A16="","",N(C16)/IF(E16="",1,IFERROR(INDEX(Setup!$C$23:$C$46,MATCH(E16,Setup!$A$23:$A$46,0)),1)))</f>
        <v>0</v>
      </c>
      <c r="G16" s="145"/>
    </row>
    <row r="17" customFormat="false" ht="15" hidden="false" customHeight="false" outlineLevel="0" collapsed="false">
      <c r="A17" s="108" t="s">
        <v>785</v>
      </c>
      <c r="B17" s="108" t="s">
        <v>784</v>
      </c>
      <c r="C17" s="142"/>
      <c r="D17" s="158"/>
      <c r="E17" s="144"/>
      <c r="F17" s="159" t="n">
        <f aca="false">IF(A17="","",N(C17)/IF(E17="",1,IFERROR(INDEX(Setup!$C$23:$C$46,MATCH(E17,Setup!$A$23:$A$46,0)),1)))</f>
        <v>0</v>
      </c>
      <c r="G17" s="145" t="s">
        <v>786</v>
      </c>
    </row>
    <row r="18" customFormat="false" ht="15" hidden="false" customHeight="false" outlineLevel="0" collapsed="false">
      <c r="A18" s="108" t="s">
        <v>787</v>
      </c>
      <c r="B18" s="108" t="s">
        <v>784</v>
      </c>
      <c r="C18" s="142"/>
      <c r="D18" s="158"/>
      <c r="E18" s="144"/>
      <c r="F18" s="159" t="n">
        <f aca="false">IF(A18="","",N(C18)/IF(E18="",1,IFERROR(INDEX(Setup!$C$23:$C$46,MATCH(E18,Setup!$A$23:$A$46,0)),1)))</f>
        <v>0</v>
      </c>
      <c r="G18" s="145"/>
    </row>
    <row r="19" customFormat="false" ht="15" hidden="false" customHeight="false" outlineLevel="0" collapsed="false">
      <c r="A19" s="108" t="s">
        <v>788</v>
      </c>
      <c r="B19" s="108" t="s">
        <v>784</v>
      </c>
      <c r="C19" s="142"/>
      <c r="D19" s="158"/>
      <c r="E19" s="144"/>
      <c r="F19" s="159" t="n">
        <f aca="false">IF(A19="","",N(C19)/IF(E19="",1,IFERROR(INDEX(Setup!$C$23:$C$46,MATCH(E19,Setup!$A$23:$A$46,0)),1)))</f>
        <v>0</v>
      </c>
      <c r="G19" s="145"/>
    </row>
    <row r="20" customFormat="false" ht="15" hidden="false" customHeight="false" outlineLevel="0" collapsed="false">
      <c r="A20" s="108" t="s">
        <v>789</v>
      </c>
      <c r="B20" s="108" t="s">
        <v>784</v>
      </c>
      <c r="C20" s="142"/>
      <c r="D20" s="158"/>
      <c r="E20" s="144"/>
      <c r="F20" s="159" t="n">
        <f aca="false">IF(A20="","",N(C20)/IF(E20="",1,IFERROR(INDEX(Setup!$C$23:$C$46,MATCH(E20,Setup!$A$23:$A$46,0)),1)))</f>
        <v>0</v>
      </c>
      <c r="G20" s="145" t="s">
        <v>790</v>
      </c>
    </row>
    <row r="21" customFormat="false" ht="15" hidden="false" customHeight="false" outlineLevel="0" collapsed="false">
      <c r="A21" s="108"/>
      <c r="B21" s="108"/>
      <c r="C21" s="142"/>
      <c r="D21" s="158"/>
      <c r="E21" s="144"/>
      <c r="F21" s="159" t="str">
        <f aca="false">IF(A21="","",N(C21)/IF(E21="",1,IFERROR(INDEX(Setup!$C$23:$C$46,MATCH(E21,Setup!$A$23:$A$46,0)),1)))</f>
        <v/>
      </c>
      <c r="G21" s="108"/>
    </row>
    <row r="22" customFormat="false" ht="15" hidden="false" customHeight="false" outlineLevel="0" collapsed="false">
      <c r="A22" s="108"/>
      <c r="B22" s="108"/>
      <c r="C22" s="142"/>
      <c r="D22" s="158"/>
      <c r="E22" s="144"/>
      <c r="F22" s="159" t="str">
        <f aca="false">IF(A22="","",N(C22)/IF(E22="",1,IFERROR(INDEX(Setup!$C$23:$C$46,MATCH(E22,Setup!$A$23:$A$46,0)),1)))</f>
        <v/>
      </c>
      <c r="G22" s="108"/>
    </row>
    <row r="23" customFormat="false" ht="15" hidden="false" customHeight="false" outlineLevel="0" collapsed="false">
      <c r="A23" s="108"/>
      <c r="B23" s="108"/>
      <c r="C23" s="142"/>
      <c r="D23" s="158"/>
      <c r="E23" s="144"/>
      <c r="F23" s="159" t="str">
        <f aca="false">IF(A23="","",N(C23)/IF(E23="",1,IFERROR(INDEX(Setup!$C$23:$C$46,MATCH(E23,Setup!$A$23:$A$46,0)),1)))</f>
        <v/>
      </c>
      <c r="G23" s="108"/>
    </row>
    <row r="24" customFormat="false" ht="15" hidden="false" customHeight="false" outlineLevel="0" collapsed="false">
      <c r="A24" s="108"/>
      <c r="B24" s="108"/>
      <c r="C24" s="142"/>
      <c r="D24" s="158"/>
      <c r="E24" s="144"/>
      <c r="F24" s="159" t="str">
        <f aca="false">IF(A24="","",N(C24)/IF(E24="",1,IFERROR(INDEX(Setup!$C$23:$C$46,MATCH(E24,Setup!$A$23:$A$46,0)),1)))</f>
        <v/>
      </c>
      <c r="G24" s="108"/>
    </row>
    <row r="25" customFormat="false" ht="15" hidden="false" customHeight="false" outlineLevel="0" collapsed="false">
      <c r="A25" s="108"/>
      <c r="B25" s="108"/>
      <c r="C25" s="142"/>
      <c r="D25" s="158"/>
      <c r="E25" s="144"/>
      <c r="F25" s="159" t="str">
        <f aca="false">IF(A25="","",N(C25)/IF(E25="",1,IFERROR(INDEX(Setup!$C$23:$C$46,MATCH(E25,Setup!$A$23:$A$46,0)),1)))</f>
        <v/>
      </c>
      <c r="G25" s="108"/>
    </row>
    <row r="26" customFormat="false" ht="15" hidden="false" customHeight="false" outlineLevel="0" collapsed="false">
      <c r="A26" s="108"/>
      <c r="B26" s="108"/>
      <c r="C26" s="142"/>
      <c r="D26" s="158"/>
      <c r="E26" s="144"/>
      <c r="F26" s="159" t="str">
        <f aca="false">IF(A26="","",N(C26)/IF(E26="",1,IFERROR(INDEX(Setup!$C$23:$C$46,MATCH(E26,Setup!$A$23:$A$46,0)),1)))</f>
        <v/>
      </c>
      <c r="G26" s="108"/>
    </row>
    <row r="27" customFormat="false" ht="15" hidden="false" customHeight="false" outlineLevel="0" collapsed="false">
      <c r="A27" s="108"/>
      <c r="B27" s="108"/>
      <c r="C27" s="142"/>
      <c r="D27" s="158"/>
      <c r="E27" s="144"/>
      <c r="F27" s="159" t="str">
        <f aca="false">IF(A27="","",N(C27)/IF(E27="",1,IFERROR(INDEX(Setup!$C$23:$C$46,MATCH(E27,Setup!$A$23:$A$46,0)),1)))</f>
        <v/>
      </c>
      <c r="G27" s="108"/>
    </row>
    <row r="28" customFormat="false" ht="15" hidden="false" customHeight="false" outlineLevel="0" collapsed="false">
      <c r="A28" s="108"/>
      <c r="B28" s="108"/>
      <c r="C28" s="142"/>
      <c r="D28" s="158"/>
      <c r="E28" s="144"/>
      <c r="F28" s="159" t="str">
        <f aca="false">IF(A28="","",N(C28)/IF(E28="",1,IFERROR(INDEX(Setup!$C$23:$C$46,MATCH(E28,Setup!$A$23:$A$46,0)),1)))</f>
        <v/>
      </c>
      <c r="G28" s="108"/>
    </row>
    <row r="29" customFormat="false" ht="15" hidden="false" customHeight="false" outlineLevel="0" collapsed="false">
      <c r="A29" s="108"/>
      <c r="B29" s="108"/>
      <c r="C29" s="142"/>
      <c r="D29" s="158"/>
      <c r="E29" s="144"/>
      <c r="F29" s="159" t="str">
        <f aca="false">IF(A29="","",N(C29)/IF(E29="",1,IFERROR(INDEX(Setup!$C$23:$C$46,MATCH(E29,Setup!$A$23:$A$46,0)),1)))</f>
        <v/>
      </c>
      <c r="G29" s="108"/>
    </row>
    <row r="30" customFormat="false" ht="15" hidden="false" customHeight="false" outlineLevel="0" collapsed="false">
      <c r="A30" s="108"/>
      <c r="B30" s="108"/>
      <c r="C30" s="142"/>
      <c r="D30" s="158"/>
      <c r="E30" s="144"/>
      <c r="F30" s="159" t="str">
        <f aca="false">IF(A30="","",N(C30)/IF(E30="",1,IFERROR(INDEX(Setup!$C$23:$C$46,MATCH(E30,Setup!$A$23:$A$46,0)),1)))</f>
        <v/>
      </c>
      <c r="G30" s="108"/>
    </row>
    <row r="31" customFormat="false" ht="15" hidden="false" customHeight="false" outlineLevel="0" collapsed="false">
      <c r="A31" s="108"/>
      <c r="B31" s="108"/>
      <c r="C31" s="142"/>
      <c r="D31" s="158"/>
      <c r="E31" s="144"/>
      <c r="F31" s="159" t="str">
        <f aca="false">IF(A31="","",N(C31)/IF(E31="",1,IFERROR(INDEX(Setup!$C$23:$C$46,MATCH(E31,Setup!$A$23:$A$46,0)),1)))</f>
        <v/>
      </c>
      <c r="G31" s="108"/>
    </row>
    <row r="32" customFormat="false" ht="15" hidden="false" customHeight="false" outlineLevel="0" collapsed="false">
      <c r="A32" s="108"/>
      <c r="B32" s="108"/>
      <c r="C32" s="142"/>
      <c r="D32" s="158"/>
      <c r="E32" s="144"/>
      <c r="F32" s="159" t="str">
        <f aca="false">IF(A32="","",N(C32)/IF(E32="",1,IFERROR(INDEX(Setup!$C$23:$C$46,MATCH(E32,Setup!$A$23:$A$46,0)),1)))</f>
        <v/>
      </c>
      <c r="G32" s="108"/>
    </row>
    <row r="33" customFormat="false" ht="15" hidden="false" customHeight="false" outlineLevel="0" collapsed="false">
      <c r="A33" s="108"/>
      <c r="B33" s="108"/>
      <c r="C33" s="142"/>
      <c r="D33" s="158"/>
      <c r="E33" s="144"/>
      <c r="F33" s="159" t="str">
        <f aca="false">IF(A33="","",N(C33)/IF(E33="",1,IFERROR(INDEX(Setup!$C$23:$C$46,MATCH(E33,Setup!$A$23:$A$46,0)),1)))</f>
        <v/>
      </c>
      <c r="G33" s="108"/>
    </row>
    <row r="34" customFormat="false" ht="18.75" hidden="false" customHeight="true" outlineLevel="0" collapsed="false">
      <c r="A34" s="56" t="s">
        <v>791</v>
      </c>
      <c r="B34" s="3"/>
      <c r="C34" s="3"/>
      <c r="D34" s="3"/>
      <c r="E34" s="3"/>
      <c r="F34" s="3"/>
      <c r="G34" s="3"/>
    </row>
    <row r="35" customFormat="false" ht="19.5" hidden="false" customHeight="true" outlineLevel="0" collapsed="false">
      <c r="A35" s="107" t="s">
        <v>766</v>
      </c>
      <c r="B35" s="107"/>
      <c r="C35" s="107" t="s">
        <v>48</v>
      </c>
      <c r="D35" s="107"/>
      <c r="E35" s="107" t="s">
        <v>160</v>
      </c>
      <c r="F35" s="107" t="s">
        <v>769</v>
      </c>
      <c r="G35" s="107" t="s">
        <v>163</v>
      </c>
    </row>
    <row r="36" customFormat="false" ht="15" hidden="false" customHeight="false" outlineLevel="0" collapsed="false">
      <c r="A36" s="108" t="s">
        <v>792</v>
      </c>
      <c r="C36" s="160"/>
      <c r="E36" s="144"/>
      <c r="F36" s="114" t="n">
        <f aca="false">N(C36)/IF(E36="",1,IFERROR(INDEX(Setup!$C$23:$C$46,MATCH(E36,Setup!$A$23:$A$46,0)),1))</f>
        <v>0</v>
      </c>
      <c r="G36" s="145" t="s">
        <v>793</v>
      </c>
    </row>
    <row r="37" customFormat="false" ht="15" hidden="false" customHeight="false" outlineLevel="0" collapsed="false">
      <c r="A37" s="108" t="s">
        <v>794</v>
      </c>
      <c r="C37" s="160"/>
      <c r="E37" s="144"/>
      <c r="F37" s="114" t="n">
        <f aca="false">N(C37)/IF(E37="",1,IFERROR(INDEX(Setup!$C$23:$C$46,MATCH(E37,Setup!$A$23:$A$46,0)),1))</f>
        <v>0</v>
      </c>
      <c r="G37" s="145" t="s">
        <v>795</v>
      </c>
    </row>
    <row r="38" customFormat="false" ht="15" hidden="false" customHeight="false" outlineLevel="0" collapsed="false">
      <c r="A38" s="108" t="s">
        <v>354</v>
      </c>
      <c r="C38" s="160"/>
      <c r="E38" s="144"/>
      <c r="F38" s="114" t="n">
        <f aca="false">N(C38)/IF(E38="",1,IFERROR(INDEX(Setup!$C$23:$C$46,MATCH(E38,Setup!$A$23:$A$46,0)),1))</f>
        <v>0</v>
      </c>
      <c r="G38" s="145"/>
    </row>
    <row r="39" customFormat="false" ht="15" hidden="false" customHeight="false" outlineLevel="0" collapsed="false">
      <c r="A39" s="151" t="s">
        <v>796</v>
      </c>
      <c r="C39" s="152" t="n">
        <f aca="false">SUM(F36:F38)</f>
        <v>0</v>
      </c>
    </row>
  </sheetData>
  <sheetProtection sheet="true" scenarios="true" formatCells="false" formatColumns="false" formatRows="false" sort="false" autoFilter="false"/>
  <conditionalFormatting sqref="A5:G33">
    <cfRule type="expression" priority="2" aboveAverage="0" equalAverage="0" bottom="0" percent="0" rank="0" text="" dxfId="5">
      <formula>MOD(ROW(),2)=0</formula>
    </cfRule>
  </conditionalFormatting>
  <dataValidations count="3">
    <dataValidation allowBlank="false" errorStyle="stop" operator="between" showDropDown="false" showErrorMessage="false" showInputMessage="false" sqref="B5:B33" type="list">
      <formula1>"Expense,Income"</formula1>
      <formula2>0</formula2>
    </dataValidation>
    <dataValidation allowBlank="true" errorStyle="stop" operator="between" showDropDown="false" showErrorMessage="false" showInputMessage="false" sqref="E5:E33" type="list">
      <formula1>Setup!$A$23:$A$46</formula1>
      <formula2>0</formula2>
    </dataValidation>
    <dataValidation allowBlank="true" errorStyle="stop" operator="between" showDropDown="false" showErrorMessage="false" showInputMessage="false" sqref="E36:E38" type="list">
      <formula1>Setup!$A$23:$A$46</formula1>
      <formula2>0</formula2>
    </dataValidation>
  </dataValidations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One-Time&amp;R&amp;8 Page &amp;P of &amp;N · printed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6" min="4" style="0" width="12"/>
    <col collapsed="false" customWidth="true" hidden="false" outlineLevel="0" max="7" min="7" style="0" width="11"/>
    <col collapsed="false" customWidth="true" hidden="false" outlineLevel="0" max="10" min="8" style="0" width="10"/>
    <col collapsed="false" customWidth="true" hidden="false" outlineLevel="0" max="11" min="11" style="0" width="16"/>
    <col collapsed="false" customWidth="true" hidden="false" outlineLevel="0" max="12" min="12" style="0" width="10"/>
    <col collapsed="false" customWidth="true" hidden="false" outlineLevel="0" max="13" min="13" style="0" width="40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7" min="16" style="0" width="12"/>
    <col collapsed="false" customWidth="true" hidden="false" outlineLevel="0" max="18" min="18" style="0" width="10"/>
    <col collapsed="false" customWidth="true" hidden="false" outlineLevel="0" max="19" min="19" style="0" width="8"/>
    <col collapsed="false" customWidth="true" hidden="false" outlineLevel="0" max="22" min="20" style="0" width="13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customFormat="false" ht="24" hidden="false" customHeight="true" outlineLevel="0" collapsed="false">
      <c r="A2" s="98" t="s">
        <v>42</v>
      </c>
      <c r="B2" s="139" t="s">
        <v>797</v>
      </c>
      <c r="C2" s="139"/>
      <c r="D2" s="139" t="s">
        <v>798</v>
      </c>
      <c r="E2" s="139" t="s">
        <v>72</v>
      </c>
      <c r="F2" s="139"/>
      <c r="G2" s="139" t="s">
        <v>799</v>
      </c>
      <c r="H2" s="139"/>
      <c r="I2" s="139" t="s">
        <v>800</v>
      </c>
      <c r="J2" s="139"/>
      <c r="K2" s="139"/>
      <c r="L2" s="139" t="s">
        <v>801</v>
      </c>
      <c r="M2" s="139"/>
    </row>
    <row r="3" customFormat="false" ht="24" hidden="false" customHeight="true" outlineLevel="0" collapsed="false">
      <c r="B3" s="140" t="n">
        <f aca="false">D28</f>
        <v>0</v>
      </c>
      <c r="C3" s="140"/>
      <c r="D3" s="161" t="n">
        <f aca="false">G28</f>
        <v>0</v>
      </c>
      <c r="E3" s="140" t="n">
        <f aca="false">F28</f>
        <v>0</v>
      </c>
      <c r="F3" s="140"/>
      <c r="G3" s="140" t="n">
        <f aca="false">N28</f>
        <v>0</v>
      </c>
      <c r="H3" s="140"/>
      <c r="I3" s="140" t="n">
        <f aca="false">I30</f>
        <v>0</v>
      </c>
      <c r="J3" s="140"/>
      <c r="K3" s="140"/>
      <c r="L3" s="162" t="n">
        <f aca="false">IFERROR(INDEX(H5:H27,MATCH(1,O5:O27,0)),0)</f>
        <v>0</v>
      </c>
      <c r="M3" s="162"/>
    </row>
    <row r="4" customFormat="false" ht="19.5" hidden="false" customHeight="true" outlineLevel="0" collapsed="false">
      <c r="A4" s="107" t="s">
        <v>802</v>
      </c>
      <c r="B4" s="107" t="s">
        <v>226</v>
      </c>
      <c r="C4" s="107" t="s">
        <v>803</v>
      </c>
      <c r="D4" s="107" t="s">
        <v>804</v>
      </c>
      <c r="E4" s="107" t="s">
        <v>805</v>
      </c>
      <c r="F4" s="107" t="s">
        <v>806</v>
      </c>
      <c r="G4" s="107" t="s">
        <v>807</v>
      </c>
      <c r="H4" s="107" t="s">
        <v>808</v>
      </c>
      <c r="I4" s="107" t="s">
        <v>85</v>
      </c>
      <c r="J4" s="107" t="s">
        <v>691</v>
      </c>
      <c r="K4" s="107" t="s">
        <v>809</v>
      </c>
      <c r="L4" s="107" t="s">
        <v>160</v>
      </c>
      <c r="M4" s="107" t="s">
        <v>163</v>
      </c>
      <c r="N4" s="107" t="s">
        <v>810</v>
      </c>
      <c r="O4" s="107" t="s">
        <v>811</v>
      </c>
      <c r="P4" s="107" t="s">
        <v>812</v>
      </c>
      <c r="Q4" s="107" t="s">
        <v>813</v>
      </c>
      <c r="R4" s="107" t="s">
        <v>814</v>
      </c>
      <c r="S4" s="141" t="s">
        <v>700</v>
      </c>
    </row>
    <row r="5" customFormat="false" ht="15" hidden="false" customHeight="false" outlineLevel="0" collapsed="false">
      <c r="A5" s="108" t="s">
        <v>815</v>
      </c>
      <c r="B5" s="108" t="s">
        <v>245</v>
      </c>
      <c r="C5" s="144" t="s">
        <v>816</v>
      </c>
      <c r="D5" s="142"/>
      <c r="E5" s="160"/>
      <c r="F5" s="147" t="str">
        <f aca="false">IF(OR(E5="",E5=0),"",MAX(0,E5-N(D5)))</f>
        <v/>
      </c>
      <c r="G5" s="146" t="str">
        <f aca="false">IF(OR(E5="",E5=0),"",N(D5)/E5)</f>
        <v/>
      </c>
      <c r="H5" s="163"/>
      <c r="I5" s="142"/>
      <c r="J5" s="143"/>
      <c r="K5" s="108"/>
      <c r="L5" s="144"/>
      <c r="M5" s="145" t="s">
        <v>817</v>
      </c>
      <c r="N5" s="147" t="n">
        <f aca="false">IF(A5="","",IF(N(D5)&gt;0,P5*N(H5)/12,0))</f>
        <v>0</v>
      </c>
      <c r="O5" s="157" t="str">
        <f aca="false">IF(OR(A5="",N(D5)&lt;=0,E5="",E5=0),"",COUNTIFS($D$5:$D$27,"&gt;0",$E$5:$E$27,"&gt;0",$H$5:$H$27,"&gt;"&amp;H5)+1)</f>
        <v/>
      </c>
      <c r="P5" s="114" t="n">
        <f aca="false">IF(A5="","",N(D5)/IF($L5="",1,IFERROR(INDEX(Setup!$C$23:$C$46,MATCH($L5,Setup!$A$23:$A$46,0)),1)))</f>
        <v>0</v>
      </c>
      <c r="Q5" s="114" t="str">
        <f aca="false">IF(OR(A5="",E5="",E5=0),"",E5/IF($L5="",1,IFERROR(INDEX(Setup!$C$23:$C$46,MATCH($L5,Setup!$A$23:$A$46,0)),1)))</f>
        <v/>
      </c>
      <c r="R5" s="114" t="n">
        <f aca="false">IF(A5="","",N(I5)/IF($L5="",1,IFERROR(INDEX(Setup!$C$23:$C$46,MATCH($L5,Setup!$A$23:$A$46,0)),1)))</f>
        <v>0</v>
      </c>
      <c r="S5" s="149" t="s">
        <v>818</v>
      </c>
    </row>
    <row r="6" customFormat="false" ht="15" hidden="false" customHeight="false" outlineLevel="0" collapsed="false">
      <c r="A6" s="108" t="s">
        <v>819</v>
      </c>
      <c r="B6" s="108" t="s">
        <v>301</v>
      </c>
      <c r="C6" s="144" t="s">
        <v>816</v>
      </c>
      <c r="D6" s="142"/>
      <c r="E6" s="160"/>
      <c r="F6" s="147" t="str">
        <f aca="false">IF(OR(E6="",E6=0),"",MAX(0,E6-N(D6)))</f>
        <v/>
      </c>
      <c r="G6" s="146" t="str">
        <f aca="false">IF(OR(E6="",E6=0),"",N(D6)/E6)</f>
        <v/>
      </c>
      <c r="H6" s="163"/>
      <c r="I6" s="142"/>
      <c r="J6" s="143"/>
      <c r="K6" s="108"/>
      <c r="L6" s="144"/>
      <c r="M6" s="145" t="s">
        <v>820</v>
      </c>
      <c r="N6" s="147" t="n">
        <f aca="false">IF(A6="","",IF(N(D6)&gt;0,P6*N(H6)/12,0))</f>
        <v>0</v>
      </c>
      <c r="O6" s="157" t="str">
        <f aca="false">IF(OR(A6="",N(D6)&lt;=0,E6="",E6=0),"",COUNTIFS($D$5:$D$27,"&gt;0",$E$5:$E$27,"&gt;0",$H$5:$H$27,"&gt;"&amp;H6)+1)</f>
        <v/>
      </c>
      <c r="P6" s="114" t="n">
        <f aca="false">IF(A6="","",N(D6)/IF($L6="",1,IFERROR(INDEX(Setup!$C$23:$C$46,MATCH($L6,Setup!$A$23:$A$46,0)),1)))</f>
        <v>0</v>
      </c>
      <c r="Q6" s="114" t="str">
        <f aca="false">IF(OR(A6="",E6="",E6=0),"",E6/IF($L6="",1,IFERROR(INDEX(Setup!$C$23:$C$46,MATCH($L6,Setup!$A$23:$A$46,0)),1)))</f>
        <v/>
      </c>
      <c r="R6" s="114" t="n">
        <f aca="false">IF(A6="","",N(I6)/IF($L6="",1,IFERROR(INDEX(Setup!$C$23:$C$46,MATCH($L6,Setup!$A$23:$A$46,0)),1)))</f>
        <v>0</v>
      </c>
      <c r="S6" s="149" t="s">
        <v>821</v>
      </c>
    </row>
    <row r="7" customFormat="false" ht="15" hidden="false" customHeight="false" outlineLevel="0" collapsed="false">
      <c r="A7" s="108" t="s">
        <v>822</v>
      </c>
      <c r="B7" s="108" t="s">
        <v>316</v>
      </c>
      <c r="C7" s="144" t="s">
        <v>823</v>
      </c>
      <c r="D7" s="142"/>
      <c r="E7" s="160"/>
      <c r="F7" s="147" t="str">
        <f aca="false">IF(OR(E7="",E7=0),"",MAX(0,E7-N(D7)))</f>
        <v/>
      </c>
      <c r="G7" s="146" t="str">
        <f aca="false">IF(OR(E7="",E7=0),"",N(D7)/E7)</f>
        <v/>
      </c>
      <c r="H7" s="163"/>
      <c r="I7" s="142"/>
      <c r="J7" s="143"/>
      <c r="K7" s="108"/>
      <c r="L7" s="144"/>
      <c r="M7" s="145"/>
      <c r="N7" s="147" t="n">
        <f aca="false">IF(A7="","",IF(N(D7)&gt;0,P7*N(H7)/12,0))</f>
        <v>0</v>
      </c>
      <c r="O7" s="157" t="str">
        <f aca="false">IF(OR(A7="",N(D7)&lt;=0,E7="",E7=0),"",COUNTIFS($D$5:$D$27,"&gt;0",$E$5:$E$27,"&gt;0",$H$5:$H$27,"&gt;"&amp;H7)+1)</f>
        <v/>
      </c>
      <c r="P7" s="114" t="n">
        <f aca="false">IF(A7="","",N(D7)/IF($L7="",1,IFERROR(INDEX(Setup!$C$23:$C$46,MATCH($L7,Setup!$A$23:$A$46,0)),1)))</f>
        <v>0</v>
      </c>
      <c r="Q7" s="114" t="str">
        <f aca="false">IF(OR(A7="",E7="",E7=0),"",E7/IF($L7="",1,IFERROR(INDEX(Setup!$C$23:$C$46,MATCH($L7,Setup!$A$23:$A$46,0)),1)))</f>
        <v/>
      </c>
      <c r="R7" s="114" t="n">
        <f aca="false">IF(A7="","",N(I7)/IF($L7="",1,IFERROR(INDEX(Setup!$C$23:$C$46,MATCH($L7,Setup!$A$23:$A$46,0)),1)))</f>
        <v>0</v>
      </c>
      <c r="S7" s="149" t="s">
        <v>824</v>
      </c>
    </row>
    <row r="8" customFormat="false" ht="15" hidden="false" customHeight="false" outlineLevel="0" collapsed="false">
      <c r="A8" s="108"/>
      <c r="B8" s="108"/>
      <c r="C8" s="144"/>
      <c r="D8" s="142"/>
      <c r="E8" s="160"/>
      <c r="F8" s="147" t="str">
        <f aca="false">IF(OR(E8="",E8=0),"",MAX(0,E8-N(D8)))</f>
        <v/>
      </c>
      <c r="G8" s="146" t="str">
        <f aca="false">IF(OR(E8="",E8=0),"",N(D8)/E8)</f>
        <v/>
      </c>
      <c r="H8" s="163"/>
      <c r="I8" s="142"/>
      <c r="J8" s="143"/>
      <c r="K8" s="108"/>
      <c r="L8" s="144"/>
      <c r="M8" s="145"/>
      <c r="N8" s="147" t="str">
        <f aca="false">IF(A8="","",IF(N(D8)&gt;0,P8*N(H8)/12,0))</f>
        <v/>
      </c>
      <c r="O8" s="157" t="str">
        <f aca="false">IF(OR(A8="",N(D8)&lt;=0,E8="",E8=0),"",COUNTIFS($D$5:$D$27,"&gt;0",$E$5:$E$27,"&gt;0",$H$5:$H$27,"&gt;"&amp;H8)+1)</f>
        <v/>
      </c>
      <c r="P8" s="114" t="str">
        <f aca="false">IF(A8="","",N(D8)/IF($L8="",1,IFERROR(INDEX(Setup!$C$23:$C$46,MATCH($L8,Setup!$A$23:$A$46,0)),1)))</f>
        <v/>
      </c>
      <c r="Q8" s="114" t="str">
        <f aca="false">IF(OR(A8="",E8="",E8=0),"",E8/IF($L8="",1,IFERROR(INDEX(Setup!$C$23:$C$46,MATCH($L8,Setup!$A$23:$A$46,0)),1)))</f>
        <v/>
      </c>
      <c r="R8" s="114" t="str">
        <f aca="false">IF(A8="","",N(I8)/IF($L8="",1,IFERROR(INDEX(Setup!$C$23:$C$46,MATCH($L8,Setup!$A$23:$A$46,0)),1)))</f>
        <v/>
      </c>
      <c r="S8" s="149" t="s">
        <v>825</v>
      </c>
    </row>
    <row r="9" customFormat="false" ht="15" hidden="false" customHeight="false" outlineLevel="0" collapsed="false">
      <c r="A9" s="108"/>
      <c r="B9" s="108"/>
      <c r="C9" s="144"/>
      <c r="D9" s="142"/>
      <c r="E9" s="160"/>
      <c r="F9" s="147" t="str">
        <f aca="false">IF(OR(E9="",E9=0),"",MAX(0,E9-N(D9)))</f>
        <v/>
      </c>
      <c r="G9" s="146" t="str">
        <f aca="false">IF(OR(E9="",E9=0),"",N(D9)/E9)</f>
        <v/>
      </c>
      <c r="H9" s="163"/>
      <c r="I9" s="142"/>
      <c r="J9" s="143"/>
      <c r="K9" s="108"/>
      <c r="L9" s="144"/>
      <c r="M9" s="145"/>
      <c r="N9" s="147" t="str">
        <f aca="false">IF(A9="","",IF(N(D9)&gt;0,P9*N(H9)/12,0))</f>
        <v/>
      </c>
      <c r="O9" s="157" t="str">
        <f aca="false">IF(OR(A9="",N(D9)&lt;=0,E9="",E9=0),"",COUNTIFS($D$5:$D$27,"&gt;0",$E$5:$E$27,"&gt;0",$H$5:$H$27,"&gt;"&amp;H9)+1)</f>
        <v/>
      </c>
      <c r="P9" s="114" t="str">
        <f aca="false">IF(A9="","",N(D9)/IF($L9="",1,IFERROR(INDEX(Setup!$C$23:$C$46,MATCH($L9,Setup!$A$23:$A$46,0)),1)))</f>
        <v/>
      </c>
      <c r="Q9" s="114" t="str">
        <f aca="false">IF(OR(A9="",E9="",E9=0),"",E9/IF($L9="",1,IFERROR(INDEX(Setup!$C$23:$C$46,MATCH($L9,Setup!$A$23:$A$46,0)),1)))</f>
        <v/>
      </c>
      <c r="R9" s="114" t="str">
        <f aca="false">IF(A9="","",N(I9)/IF($L9="",1,IFERROR(INDEX(Setup!$C$23:$C$46,MATCH($L9,Setup!$A$23:$A$46,0)),1)))</f>
        <v/>
      </c>
      <c r="S9" s="149" t="s">
        <v>826</v>
      </c>
    </row>
    <row r="10" customFormat="false" ht="15" hidden="false" customHeight="false" outlineLevel="0" collapsed="false">
      <c r="A10" s="108"/>
      <c r="B10" s="108"/>
      <c r="C10" s="144"/>
      <c r="D10" s="142"/>
      <c r="E10" s="160"/>
      <c r="F10" s="147" t="str">
        <f aca="false">IF(OR(E10="",E10=0),"",MAX(0,E10-N(D10)))</f>
        <v/>
      </c>
      <c r="G10" s="146" t="str">
        <f aca="false">IF(OR(E10="",E10=0),"",N(D10)/E10)</f>
        <v/>
      </c>
      <c r="H10" s="163"/>
      <c r="I10" s="142"/>
      <c r="J10" s="143"/>
      <c r="K10" s="108"/>
      <c r="L10" s="144"/>
      <c r="M10" s="145"/>
      <c r="N10" s="147" t="str">
        <f aca="false">IF(A10="","",IF(N(D10)&gt;0,P10*N(H10)/12,0))</f>
        <v/>
      </c>
      <c r="O10" s="157" t="str">
        <f aca="false">IF(OR(A10="",N(D10)&lt;=0,E10="",E10=0),"",COUNTIFS($D$5:$D$27,"&gt;0",$E$5:$E$27,"&gt;0",$H$5:$H$27,"&gt;"&amp;H10)+1)</f>
        <v/>
      </c>
      <c r="P10" s="114" t="str">
        <f aca="false">IF(A10="","",N(D10)/IF($L10="",1,IFERROR(INDEX(Setup!$C$23:$C$46,MATCH($L10,Setup!$A$23:$A$46,0)),1)))</f>
        <v/>
      </c>
      <c r="Q10" s="114" t="str">
        <f aca="false">IF(OR(A10="",E10="",E10=0),"",E10/IF($L10="",1,IFERROR(INDEX(Setup!$C$23:$C$46,MATCH($L10,Setup!$A$23:$A$46,0)),1)))</f>
        <v/>
      </c>
      <c r="R10" s="114" t="str">
        <f aca="false">IF(A10="","",N(I10)/IF($L10="",1,IFERROR(INDEX(Setup!$C$23:$C$46,MATCH($L10,Setup!$A$23:$A$46,0)),1)))</f>
        <v/>
      </c>
      <c r="S10" s="149" t="s">
        <v>827</v>
      </c>
    </row>
    <row r="11" customFormat="false" ht="15" hidden="false" customHeight="false" outlineLevel="0" collapsed="false">
      <c r="A11" s="108"/>
      <c r="B11" s="108"/>
      <c r="C11" s="144"/>
      <c r="D11" s="142"/>
      <c r="E11" s="160"/>
      <c r="F11" s="147" t="str">
        <f aca="false">IF(OR(E11="",E11=0),"",MAX(0,E11-N(D11)))</f>
        <v/>
      </c>
      <c r="G11" s="146" t="str">
        <f aca="false">IF(OR(E11="",E11=0),"",N(D11)/E11)</f>
        <v/>
      </c>
      <c r="H11" s="163"/>
      <c r="I11" s="142"/>
      <c r="J11" s="143"/>
      <c r="K11" s="108"/>
      <c r="L11" s="144"/>
      <c r="M11" s="145"/>
      <c r="N11" s="147" t="str">
        <f aca="false">IF(A11="","",IF(N(D11)&gt;0,P11*N(H11)/12,0))</f>
        <v/>
      </c>
      <c r="O11" s="157" t="str">
        <f aca="false">IF(OR(A11="",N(D11)&lt;=0,E11="",E11=0),"",COUNTIFS($D$5:$D$27,"&gt;0",$E$5:$E$27,"&gt;0",$H$5:$H$27,"&gt;"&amp;H11)+1)</f>
        <v/>
      </c>
      <c r="P11" s="114" t="str">
        <f aca="false">IF(A11="","",N(D11)/IF($L11="",1,IFERROR(INDEX(Setup!$C$23:$C$46,MATCH($L11,Setup!$A$23:$A$46,0)),1)))</f>
        <v/>
      </c>
      <c r="Q11" s="114" t="str">
        <f aca="false">IF(OR(A11="",E11="",E11=0),"",E11/IF($L11="",1,IFERROR(INDEX(Setup!$C$23:$C$46,MATCH($L11,Setup!$A$23:$A$46,0)),1)))</f>
        <v/>
      </c>
      <c r="R11" s="114" t="str">
        <f aca="false">IF(A11="","",N(I11)/IF($L11="",1,IFERROR(INDEX(Setup!$C$23:$C$46,MATCH($L11,Setup!$A$23:$A$46,0)),1)))</f>
        <v/>
      </c>
      <c r="S11" s="149" t="s">
        <v>828</v>
      </c>
    </row>
    <row r="12" customFormat="false" ht="15" hidden="false" customHeight="false" outlineLevel="0" collapsed="false">
      <c r="A12" s="108"/>
      <c r="B12" s="108"/>
      <c r="C12" s="144"/>
      <c r="D12" s="142"/>
      <c r="E12" s="160"/>
      <c r="F12" s="147" t="str">
        <f aca="false">IF(OR(E12="",E12=0),"",MAX(0,E12-N(D12)))</f>
        <v/>
      </c>
      <c r="G12" s="146" t="str">
        <f aca="false">IF(OR(E12="",E12=0),"",N(D12)/E12)</f>
        <v/>
      </c>
      <c r="H12" s="163"/>
      <c r="I12" s="142"/>
      <c r="J12" s="143"/>
      <c r="K12" s="108"/>
      <c r="L12" s="144"/>
      <c r="M12" s="145"/>
      <c r="N12" s="147" t="str">
        <f aca="false">IF(A12="","",IF(N(D12)&gt;0,P12*N(H12)/12,0))</f>
        <v/>
      </c>
      <c r="O12" s="157" t="str">
        <f aca="false">IF(OR(A12="",N(D12)&lt;=0,E12="",E12=0),"",COUNTIFS($D$5:$D$27,"&gt;0",$E$5:$E$27,"&gt;0",$H$5:$H$27,"&gt;"&amp;H12)+1)</f>
        <v/>
      </c>
      <c r="P12" s="114" t="str">
        <f aca="false">IF(A12="","",N(D12)/IF($L12="",1,IFERROR(INDEX(Setup!$C$23:$C$46,MATCH($L12,Setup!$A$23:$A$46,0)),1)))</f>
        <v/>
      </c>
      <c r="Q12" s="114" t="str">
        <f aca="false">IF(OR(A12="",E12="",E12=0),"",E12/IF($L12="",1,IFERROR(INDEX(Setup!$C$23:$C$46,MATCH($L12,Setup!$A$23:$A$46,0)),1)))</f>
        <v/>
      </c>
      <c r="R12" s="114" t="str">
        <f aca="false">IF(A12="","",N(I12)/IF($L12="",1,IFERROR(INDEX(Setup!$C$23:$C$46,MATCH($L12,Setup!$A$23:$A$46,0)),1)))</f>
        <v/>
      </c>
      <c r="S12" s="149" t="s">
        <v>829</v>
      </c>
    </row>
    <row r="13" customFormat="false" ht="15" hidden="false" customHeight="false" outlineLevel="0" collapsed="false">
      <c r="A13" s="108"/>
      <c r="B13" s="108"/>
      <c r="C13" s="144"/>
      <c r="D13" s="142"/>
      <c r="E13" s="160"/>
      <c r="F13" s="147" t="str">
        <f aca="false">IF(OR(E13="",E13=0),"",MAX(0,E13-N(D13)))</f>
        <v/>
      </c>
      <c r="G13" s="146" t="str">
        <f aca="false">IF(OR(E13="",E13=0),"",N(D13)/E13)</f>
        <v/>
      </c>
      <c r="H13" s="163"/>
      <c r="I13" s="142"/>
      <c r="J13" s="143"/>
      <c r="K13" s="108"/>
      <c r="L13" s="144"/>
      <c r="M13" s="145"/>
      <c r="N13" s="147" t="str">
        <f aca="false">IF(A13="","",IF(N(D13)&gt;0,P13*N(H13)/12,0))</f>
        <v/>
      </c>
      <c r="O13" s="157" t="str">
        <f aca="false">IF(OR(A13="",N(D13)&lt;=0,E13="",E13=0),"",COUNTIFS($D$5:$D$27,"&gt;0",$E$5:$E$27,"&gt;0",$H$5:$H$27,"&gt;"&amp;H13)+1)</f>
        <v/>
      </c>
      <c r="P13" s="114" t="str">
        <f aca="false">IF(A13="","",N(D13)/IF($L13="",1,IFERROR(INDEX(Setup!$C$23:$C$46,MATCH($L13,Setup!$A$23:$A$46,0)),1)))</f>
        <v/>
      </c>
      <c r="Q13" s="114" t="str">
        <f aca="false">IF(OR(A13="",E13="",E13=0),"",E13/IF($L13="",1,IFERROR(INDEX(Setup!$C$23:$C$46,MATCH($L13,Setup!$A$23:$A$46,0)),1)))</f>
        <v/>
      </c>
      <c r="R13" s="114" t="str">
        <f aca="false">IF(A13="","",N(I13)/IF($L13="",1,IFERROR(INDEX(Setup!$C$23:$C$46,MATCH($L13,Setup!$A$23:$A$46,0)),1)))</f>
        <v/>
      </c>
      <c r="S13" s="149" t="s">
        <v>830</v>
      </c>
    </row>
    <row r="14" customFormat="false" ht="15" hidden="false" customHeight="false" outlineLevel="0" collapsed="false">
      <c r="A14" s="108"/>
      <c r="B14" s="108"/>
      <c r="C14" s="144"/>
      <c r="D14" s="142"/>
      <c r="E14" s="160"/>
      <c r="F14" s="147" t="str">
        <f aca="false">IF(OR(E14="",E14=0),"",MAX(0,E14-N(D14)))</f>
        <v/>
      </c>
      <c r="G14" s="146" t="str">
        <f aca="false">IF(OR(E14="",E14=0),"",N(D14)/E14)</f>
        <v/>
      </c>
      <c r="H14" s="163"/>
      <c r="I14" s="142"/>
      <c r="J14" s="143"/>
      <c r="K14" s="108"/>
      <c r="L14" s="144"/>
      <c r="M14" s="145"/>
      <c r="N14" s="147" t="str">
        <f aca="false">IF(A14="","",IF(N(D14)&gt;0,P14*N(H14)/12,0))</f>
        <v/>
      </c>
      <c r="O14" s="157" t="str">
        <f aca="false">IF(OR(A14="",N(D14)&lt;=0,E14="",E14=0),"",COUNTIFS($D$5:$D$27,"&gt;0",$E$5:$E$27,"&gt;0",$H$5:$H$27,"&gt;"&amp;H14)+1)</f>
        <v/>
      </c>
      <c r="P14" s="114" t="str">
        <f aca="false">IF(A14="","",N(D14)/IF($L14="",1,IFERROR(INDEX(Setup!$C$23:$C$46,MATCH($L14,Setup!$A$23:$A$46,0)),1)))</f>
        <v/>
      </c>
      <c r="Q14" s="114" t="str">
        <f aca="false">IF(OR(A14="",E14="",E14=0),"",E14/IF($L14="",1,IFERROR(INDEX(Setup!$C$23:$C$46,MATCH($L14,Setup!$A$23:$A$46,0)),1)))</f>
        <v/>
      </c>
      <c r="R14" s="114" t="str">
        <f aca="false">IF(A14="","",N(I14)/IF($L14="",1,IFERROR(INDEX(Setup!$C$23:$C$46,MATCH($L14,Setup!$A$23:$A$46,0)),1)))</f>
        <v/>
      </c>
      <c r="S14" s="149" t="s">
        <v>831</v>
      </c>
    </row>
    <row r="15" customFormat="false" ht="15" hidden="false" customHeight="false" outlineLevel="0" collapsed="false">
      <c r="A15" s="108"/>
      <c r="B15" s="108"/>
      <c r="C15" s="144"/>
      <c r="D15" s="142"/>
      <c r="E15" s="160"/>
      <c r="F15" s="147" t="str">
        <f aca="false">IF(OR(E15="",E15=0),"",MAX(0,E15-N(D15)))</f>
        <v/>
      </c>
      <c r="G15" s="146" t="str">
        <f aca="false">IF(OR(E15="",E15=0),"",N(D15)/E15)</f>
        <v/>
      </c>
      <c r="H15" s="163"/>
      <c r="I15" s="142"/>
      <c r="J15" s="143"/>
      <c r="K15" s="108"/>
      <c r="L15" s="144"/>
      <c r="M15" s="145"/>
      <c r="N15" s="147" t="str">
        <f aca="false">IF(A15="","",IF(N(D15)&gt;0,P15*N(H15)/12,0))</f>
        <v/>
      </c>
      <c r="O15" s="157" t="str">
        <f aca="false">IF(OR(A15="",N(D15)&lt;=0,E15="",E15=0),"",COUNTIFS($D$5:$D$27,"&gt;0",$E$5:$E$27,"&gt;0",$H$5:$H$27,"&gt;"&amp;H15)+1)</f>
        <v/>
      </c>
      <c r="P15" s="114" t="str">
        <f aca="false">IF(A15="","",N(D15)/IF($L15="",1,IFERROR(INDEX(Setup!$C$23:$C$46,MATCH($L15,Setup!$A$23:$A$46,0)),1)))</f>
        <v/>
      </c>
      <c r="Q15" s="114" t="str">
        <f aca="false">IF(OR(A15="",E15="",E15=0),"",E15/IF($L15="",1,IFERROR(INDEX(Setup!$C$23:$C$46,MATCH($L15,Setup!$A$23:$A$46,0)),1)))</f>
        <v/>
      </c>
      <c r="R15" s="114" t="str">
        <f aca="false">IF(A15="","",N(I15)/IF($L15="",1,IFERROR(INDEX(Setup!$C$23:$C$46,MATCH($L15,Setup!$A$23:$A$46,0)),1)))</f>
        <v/>
      </c>
      <c r="S15" s="149" t="s">
        <v>832</v>
      </c>
    </row>
    <row r="16" customFormat="false" ht="15" hidden="false" customHeight="false" outlineLevel="0" collapsed="false">
      <c r="A16" s="108"/>
      <c r="B16" s="108"/>
      <c r="C16" s="144"/>
      <c r="D16" s="142"/>
      <c r="E16" s="160"/>
      <c r="F16" s="147" t="str">
        <f aca="false">IF(OR(E16="",E16=0),"",MAX(0,E16-N(D16)))</f>
        <v/>
      </c>
      <c r="G16" s="146" t="str">
        <f aca="false">IF(OR(E16="",E16=0),"",N(D16)/E16)</f>
        <v/>
      </c>
      <c r="H16" s="163"/>
      <c r="I16" s="142"/>
      <c r="J16" s="143"/>
      <c r="K16" s="108"/>
      <c r="L16" s="144"/>
      <c r="M16" s="145"/>
      <c r="N16" s="147" t="str">
        <f aca="false">IF(A16="","",IF(N(D16)&gt;0,P16*N(H16)/12,0))</f>
        <v/>
      </c>
      <c r="O16" s="157" t="str">
        <f aca="false">IF(OR(A16="",N(D16)&lt;=0,E16="",E16=0),"",COUNTIFS($D$5:$D$27,"&gt;0",$E$5:$E$27,"&gt;0",$H$5:$H$27,"&gt;"&amp;H16)+1)</f>
        <v/>
      </c>
      <c r="P16" s="114" t="str">
        <f aca="false">IF(A16="","",N(D16)/IF($L16="",1,IFERROR(INDEX(Setup!$C$23:$C$46,MATCH($L16,Setup!$A$23:$A$46,0)),1)))</f>
        <v/>
      </c>
      <c r="Q16" s="114" t="str">
        <f aca="false">IF(OR(A16="",E16="",E16=0),"",E16/IF($L16="",1,IFERROR(INDEX(Setup!$C$23:$C$46,MATCH($L16,Setup!$A$23:$A$46,0)),1)))</f>
        <v/>
      </c>
      <c r="R16" s="114" t="str">
        <f aca="false">IF(A16="","",N(I16)/IF($L16="",1,IFERROR(INDEX(Setup!$C$23:$C$46,MATCH($L16,Setup!$A$23:$A$46,0)),1)))</f>
        <v/>
      </c>
      <c r="S16" s="149" t="s">
        <v>833</v>
      </c>
    </row>
    <row r="17" customFormat="false" ht="15" hidden="false" customHeight="false" outlineLevel="0" collapsed="false">
      <c r="A17" s="108"/>
      <c r="B17" s="108"/>
      <c r="C17" s="144"/>
      <c r="D17" s="142"/>
      <c r="E17" s="160"/>
      <c r="F17" s="147" t="str">
        <f aca="false">IF(OR(E17="",E17=0),"",MAX(0,E17-N(D17)))</f>
        <v/>
      </c>
      <c r="G17" s="146" t="str">
        <f aca="false">IF(OR(E17="",E17=0),"",N(D17)/E17)</f>
        <v/>
      </c>
      <c r="H17" s="163"/>
      <c r="I17" s="142"/>
      <c r="J17" s="143"/>
      <c r="K17" s="108"/>
      <c r="L17" s="144"/>
      <c r="M17" s="145"/>
      <c r="N17" s="147" t="str">
        <f aca="false">IF(A17="","",IF(N(D17)&gt;0,P17*N(H17)/12,0))</f>
        <v/>
      </c>
      <c r="O17" s="157" t="str">
        <f aca="false">IF(OR(A17="",N(D17)&lt;=0,E17="",E17=0),"",COUNTIFS($D$5:$D$27,"&gt;0",$E$5:$E$27,"&gt;0",$H$5:$H$27,"&gt;"&amp;H17)+1)</f>
        <v/>
      </c>
      <c r="P17" s="114" t="str">
        <f aca="false">IF(A17="","",N(D17)/IF($L17="",1,IFERROR(INDEX(Setup!$C$23:$C$46,MATCH($L17,Setup!$A$23:$A$46,0)),1)))</f>
        <v/>
      </c>
      <c r="Q17" s="114" t="str">
        <f aca="false">IF(OR(A17="",E17="",E17=0),"",E17/IF($L17="",1,IFERROR(INDEX(Setup!$C$23:$C$46,MATCH($L17,Setup!$A$23:$A$46,0)),1)))</f>
        <v/>
      </c>
      <c r="R17" s="114" t="str">
        <f aca="false">IF(A17="","",N(I17)/IF($L17="",1,IFERROR(INDEX(Setup!$C$23:$C$46,MATCH($L17,Setup!$A$23:$A$46,0)),1)))</f>
        <v/>
      </c>
      <c r="S17" s="149" t="s">
        <v>834</v>
      </c>
    </row>
    <row r="18" customFormat="false" ht="15" hidden="false" customHeight="false" outlineLevel="0" collapsed="false">
      <c r="A18" s="108"/>
      <c r="B18" s="108"/>
      <c r="C18" s="144"/>
      <c r="D18" s="142"/>
      <c r="E18" s="160"/>
      <c r="F18" s="147" t="str">
        <f aca="false">IF(OR(E18="",E18=0),"",MAX(0,E18-N(D18)))</f>
        <v/>
      </c>
      <c r="G18" s="146" t="str">
        <f aca="false">IF(OR(E18="",E18=0),"",N(D18)/E18)</f>
        <v/>
      </c>
      <c r="H18" s="163"/>
      <c r="I18" s="142"/>
      <c r="J18" s="143"/>
      <c r="K18" s="108"/>
      <c r="L18" s="144"/>
      <c r="M18" s="145"/>
      <c r="N18" s="147" t="str">
        <f aca="false">IF(A18="","",IF(N(D18)&gt;0,P18*N(H18)/12,0))</f>
        <v/>
      </c>
      <c r="O18" s="157" t="str">
        <f aca="false">IF(OR(A18="",N(D18)&lt;=0,E18="",E18=0),"",COUNTIFS($D$5:$D$27,"&gt;0",$E$5:$E$27,"&gt;0",$H$5:$H$27,"&gt;"&amp;H18)+1)</f>
        <v/>
      </c>
      <c r="P18" s="114" t="str">
        <f aca="false">IF(A18="","",N(D18)/IF($L18="",1,IFERROR(INDEX(Setup!$C$23:$C$46,MATCH($L18,Setup!$A$23:$A$46,0)),1)))</f>
        <v/>
      </c>
      <c r="Q18" s="114" t="str">
        <f aca="false">IF(OR(A18="",E18="",E18=0),"",E18/IF($L18="",1,IFERROR(INDEX(Setup!$C$23:$C$46,MATCH($L18,Setup!$A$23:$A$46,0)),1)))</f>
        <v/>
      </c>
      <c r="R18" s="114" t="str">
        <f aca="false">IF(A18="","",N(I18)/IF($L18="",1,IFERROR(INDEX(Setup!$C$23:$C$46,MATCH($L18,Setup!$A$23:$A$46,0)),1)))</f>
        <v/>
      </c>
      <c r="S18" s="149" t="s">
        <v>835</v>
      </c>
    </row>
    <row r="19" customFormat="false" ht="15" hidden="false" customHeight="false" outlineLevel="0" collapsed="false">
      <c r="A19" s="108"/>
      <c r="B19" s="108"/>
      <c r="C19" s="144"/>
      <c r="D19" s="142"/>
      <c r="E19" s="160"/>
      <c r="F19" s="147" t="str">
        <f aca="false">IF(OR(E19="",E19=0),"",MAX(0,E19-N(D19)))</f>
        <v/>
      </c>
      <c r="G19" s="146" t="str">
        <f aca="false">IF(OR(E19="",E19=0),"",N(D19)/E19)</f>
        <v/>
      </c>
      <c r="H19" s="163"/>
      <c r="I19" s="142"/>
      <c r="J19" s="143"/>
      <c r="K19" s="108"/>
      <c r="L19" s="144"/>
      <c r="M19" s="145"/>
      <c r="N19" s="147" t="str">
        <f aca="false">IF(A19="","",IF(N(D19)&gt;0,P19*N(H19)/12,0))</f>
        <v/>
      </c>
      <c r="O19" s="157" t="str">
        <f aca="false">IF(OR(A19="",N(D19)&lt;=0,E19="",E19=0),"",COUNTIFS($D$5:$D$27,"&gt;0",$E$5:$E$27,"&gt;0",$H$5:$H$27,"&gt;"&amp;H19)+1)</f>
        <v/>
      </c>
      <c r="P19" s="114" t="str">
        <f aca="false">IF(A19="","",N(D19)/IF($L19="",1,IFERROR(INDEX(Setup!$C$23:$C$46,MATCH($L19,Setup!$A$23:$A$46,0)),1)))</f>
        <v/>
      </c>
      <c r="Q19" s="114" t="str">
        <f aca="false">IF(OR(A19="",E19="",E19=0),"",E19/IF($L19="",1,IFERROR(INDEX(Setup!$C$23:$C$46,MATCH($L19,Setup!$A$23:$A$46,0)),1)))</f>
        <v/>
      </c>
      <c r="R19" s="114" t="str">
        <f aca="false">IF(A19="","",N(I19)/IF($L19="",1,IFERROR(INDEX(Setup!$C$23:$C$46,MATCH($L19,Setup!$A$23:$A$46,0)),1)))</f>
        <v/>
      </c>
      <c r="S19" s="149" t="s">
        <v>836</v>
      </c>
    </row>
    <row r="20" customFormat="false" ht="15" hidden="false" customHeight="false" outlineLevel="0" collapsed="false">
      <c r="A20" s="108"/>
      <c r="B20" s="108"/>
      <c r="C20" s="144"/>
      <c r="D20" s="142"/>
      <c r="E20" s="160"/>
      <c r="F20" s="147" t="str">
        <f aca="false">IF(OR(E20="",E20=0),"",MAX(0,E20-N(D20)))</f>
        <v/>
      </c>
      <c r="G20" s="146" t="str">
        <f aca="false">IF(OR(E20="",E20=0),"",N(D20)/E20)</f>
        <v/>
      </c>
      <c r="H20" s="163"/>
      <c r="I20" s="142"/>
      <c r="J20" s="143"/>
      <c r="K20" s="108"/>
      <c r="L20" s="144"/>
      <c r="M20" s="145"/>
      <c r="N20" s="147" t="str">
        <f aca="false">IF(A20="","",IF(N(D20)&gt;0,P20*N(H20)/12,0))</f>
        <v/>
      </c>
      <c r="O20" s="157" t="str">
        <f aca="false">IF(OR(A20="",N(D20)&lt;=0,E20="",E20=0),"",COUNTIFS($D$5:$D$27,"&gt;0",$E$5:$E$27,"&gt;0",$H$5:$H$27,"&gt;"&amp;H20)+1)</f>
        <v/>
      </c>
      <c r="P20" s="114" t="str">
        <f aca="false">IF(A20="","",N(D20)/IF($L20="",1,IFERROR(INDEX(Setup!$C$23:$C$46,MATCH($L20,Setup!$A$23:$A$46,0)),1)))</f>
        <v/>
      </c>
      <c r="Q20" s="114" t="str">
        <f aca="false">IF(OR(A20="",E20="",E20=0),"",E20/IF($L20="",1,IFERROR(INDEX(Setup!$C$23:$C$46,MATCH($L20,Setup!$A$23:$A$46,0)),1)))</f>
        <v/>
      </c>
      <c r="R20" s="114" t="str">
        <f aca="false">IF(A20="","",N(I20)/IF($L20="",1,IFERROR(INDEX(Setup!$C$23:$C$46,MATCH($L20,Setup!$A$23:$A$46,0)),1)))</f>
        <v/>
      </c>
      <c r="S20" s="149" t="s">
        <v>837</v>
      </c>
    </row>
    <row r="21" customFormat="false" ht="15" hidden="false" customHeight="false" outlineLevel="0" collapsed="false">
      <c r="A21" s="108"/>
      <c r="B21" s="108"/>
      <c r="C21" s="144"/>
      <c r="D21" s="142"/>
      <c r="E21" s="160"/>
      <c r="F21" s="147" t="str">
        <f aca="false">IF(OR(E21="",E21=0),"",MAX(0,E21-N(D21)))</f>
        <v/>
      </c>
      <c r="G21" s="146" t="str">
        <f aca="false">IF(OR(E21="",E21=0),"",N(D21)/E21)</f>
        <v/>
      </c>
      <c r="H21" s="163"/>
      <c r="I21" s="142"/>
      <c r="J21" s="143"/>
      <c r="K21" s="108"/>
      <c r="L21" s="144"/>
      <c r="M21" s="145"/>
      <c r="N21" s="147" t="str">
        <f aca="false">IF(A21="","",IF(N(D21)&gt;0,P21*N(H21)/12,0))</f>
        <v/>
      </c>
      <c r="O21" s="157" t="str">
        <f aca="false">IF(OR(A21="",N(D21)&lt;=0,E21="",E21=0),"",COUNTIFS($D$5:$D$27,"&gt;0",$E$5:$E$27,"&gt;0",$H$5:$H$27,"&gt;"&amp;H21)+1)</f>
        <v/>
      </c>
      <c r="P21" s="114" t="str">
        <f aca="false">IF(A21="","",N(D21)/IF($L21="",1,IFERROR(INDEX(Setup!$C$23:$C$46,MATCH($L21,Setup!$A$23:$A$46,0)),1)))</f>
        <v/>
      </c>
      <c r="Q21" s="114" t="str">
        <f aca="false">IF(OR(A21="",E21="",E21=0),"",E21/IF($L21="",1,IFERROR(INDEX(Setup!$C$23:$C$46,MATCH($L21,Setup!$A$23:$A$46,0)),1)))</f>
        <v/>
      </c>
      <c r="R21" s="114" t="str">
        <f aca="false">IF(A21="","",N(I21)/IF($L21="",1,IFERROR(INDEX(Setup!$C$23:$C$46,MATCH($L21,Setup!$A$23:$A$46,0)),1)))</f>
        <v/>
      </c>
      <c r="S21" s="149" t="s">
        <v>838</v>
      </c>
    </row>
    <row r="22" customFormat="false" ht="15" hidden="false" customHeight="false" outlineLevel="0" collapsed="false">
      <c r="A22" s="108"/>
      <c r="B22" s="108"/>
      <c r="C22" s="144"/>
      <c r="D22" s="142"/>
      <c r="E22" s="160"/>
      <c r="F22" s="147" t="str">
        <f aca="false">IF(OR(E22="",E22=0),"",MAX(0,E22-N(D22)))</f>
        <v/>
      </c>
      <c r="G22" s="146" t="str">
        <f aca="false">IF(OR(E22="",E22=0),"",N(D22)/E22)</f>
        <v/>
      </c>
      <c r="H22" s="163"/>
      <c r="I22" s="142"/>
      <c r="J22" s="143"/>
      <c r="K22" s="108"/>
      <c r="L22" s="144"/>
      <c r="M22" s="145"/>
      <c r="N22" s="147" t="str">
        <f aca="false">IF(A22="","",IF(N(D22)&gt;0,P22*N(H22)/12,0))</f>
        <v/>
      </c>
      <c r="O22" s="157" t="str">
        <f aca="false">IF(OR(A22="",N(D22)&lt;=0,E22="",E22=0),"",COUNTIFS($D$5:$D$27,"&gt;0",$E$5:$E$27,"&gt;0",$H$5:$H$27,"&gt;"&amp;H22)+1)</f>
        <v/>
      </c>
      <c r="P22" s="114" t="str">
        <f aca="false">IF(A22="","",N(D22)/IF($L22="",1,IFERROR(INDEX(Setup!$C$23:$C$46,MATCH($L22,Setup!$A$23:$A$46,0)),1)))</f>
        <v/>
      </c>
      <c r="Q22" s="114" t="str">
        <f aca="false">IF(OR(A22="",E22="",E22=0),"",E22/IF($L22="",1,IFERROR(INDEX(Setup!$C$23:$C$46,MATCH($L22,Setup!$A$23:$A$46,0)),1)))</f>
        <v/>
      </c>
      <c r="R22" s="114" t="str">
        <f aca="false">IF(A22="","",N(I22)/IF($L22="",1,IFERROR(INDEX(Setup!$C$23:$C$46,MATCH($L22,Setup!$A$23:$A$46,0)),1)))</f>
        <v/>
      </c>
      <c r="S22" s="149" t="s">
        <v>839</v>
      </c>
    </row>
    <row r="23" customFormat="false" ht="15" hidden="false" customHeight="false" outlineLevel="0" collapsed="false">
      <c r="A23" s="108"/>
      <c r="B23" s="108"/>
      <c r="C23" s="144"/>
      <c r="D23" s="142"/>
      <c r="E23" s="160"/>
      <c r="F23" s="147" t="str">
        <f aca="false">IF(OR(E23="",E23=0),"",MAX(0,E23-N(D23)))</f>
        <v/>
      </c>
      <c r="G23" s="146" t="str">
        <f aca="false">IF(OR(E23="",E23=0),"",N(D23)/E23)</f>
        <v/>
      </c>
      <c r="H23" s="163"/>
      <c r="I23" s="142"/>
      <c r="J23" s="143"/>
      <c r="K23" s="108"/>
      <c r="L23" s="144"/>
      <c r="M23" s="145"/>
      <c r="N23" s="147" t="str">
        <f aca="false">IF(A23="","",IF(N(D23)&gt;0,P23*N(H23)/12,0))</f>
        <v/>
      </c>
      <c r="O23" s="157" t="str">
        <f aca="false">IF(OR(A23="",N(D23)&lt;=0,E23="",E23=0),"",COUNTIFS($D$5:$D$27,"&gt;0",$E$5:$E$27,"&gt;0",$H$5:$H$27,"&gt;"&amp;H23)+1)</f>
        <v/>
      </c>
      <c r="P23" s="114" t="str">
        <f aca="false">IF(A23="","",N(D23)/IF($L23="",1,IFERROR(INDEX(Setup!$C$23:$C$46,MATCH($L23,Setup!$A$23:$A$46,0)),1)))</f>
        <v/>
      </c>
      <c r="Q23" s="114" t="str">
        <f aca="false">IF(OR(A23="",E23="",E23=0),"",E23/IF($L23="",1,IFERROR(INDEX(Setup!$C$23:$C$46,MATCH($L23,Setup!$A$23:$A$46,0)),1)))</f>
        <v/>
      </c>
      <c r="R23" s="114" t="str">
        <f aca="false">IF(A23="","",N(I23)/IF($L23="",1,IFERROR(INDEX(Setup!$C$23:$C$46,MATCH($L23,Setup!$A$23:$A$46,0)),1)))</f>
        <v/>
      </c>
      <c r="S23" s="149" t="s">
        <v>840</v>
      </c>
    </row>
    <row r="24" customFormat="false" ht="15" hidden="false" customHeight="false" outlineLevel="0" collapsed="false">
      <c r="A24" s="108"/>
      <c r="B24" s="108"/>
      <c r="C24" s="144"/>
      <c r="D24" s="142"/>
      <c r="E24" s="160"/>
      <c r="F24" s="147" t="str">
        <f aca="false">IF(OR(E24="",E24=0),"",MAX(0,E24-N(D24)))</f>
        <v/>
      </c>
      <c r="G24" s="146" t="str">
        <f aca="false">IF(OR(E24="",E24=0),"",N(D24)/E24)</f>
        <v/>
      </c>
      <c r="H24" s="163"/>
      <c r="I24" s="142"/>
      <c r="J24" s="143"/>
      <c r="K24" s="108"/>
      <c r="L24" s="144"/>
      <c r="M24" s="145"/>
      <c r="N24" s="147" t="str">
        <f aca="false">IF(A24="","",IF(N(D24)&gt;0,P24*N(H24)/12,0))</f>
        <v/>
      </c>
      <c r="O24" s="157" t="str">
        <f aca="false">IF(OR(A24="",N(D24)&lt;=0,E24="",E24=0),"",COUNTIFS($D$5:$D$27,"&gt;0",$E$5:$E$27,"&gt;0",$H$5:$H$27,"&gt;"&amp;H24)+1)</f>
        <v/>
      </c>
      <c r="P24" s="114" t="str">
        <f aca="false">IF(A24="","",N(D24)/IF($L24="",1,IFERROR(INDEX(Setup!$C$23:$C$46,MATCH($L24,Setup!$A$23:$A$46,0)),1)))</f>
        <v/>
      </c>
      <c r="Q24" s="114" t="str">
        <f aca="false">IF(OR(A24="",E24="",E24=0),"",E24/IF($L24="",1,IFERROR(INDEX(Setup!$C$23:$C$46,MATCH($L24,Setup!$A$23:$A$46,0)),1)))</f>
        <v/>
      </c>
      <c r="R24" s="114" t="str">
        <f aca="false">IF(A24="","",N(I24)/IF($L24="",1,IFERROR(INDEX(Setup!$C$23:$C$46,MATCH($L24,Setup!$A$23:$A$46,0)),1)))</f>
        <v/>
      </c>
      <c r="S24" s="149" t="s">
        <v>841</v>
      </c>
    </row>
    <row r="25" customFormat="false" ht="15" hidden="false" customHeight="false" outlineLevel="0" collapsed="false">
      <c r="A25" s="108"/>
      <c r="B25" s="108"/>
      <c r="C25" s="144"/>
      <c r="D25" s="142"/>
      <c r="E25" s="160"/>
      <c r="F25" s="147" t="str">
        <f aca="false">IF(OR(E25="",E25=0),"",MAX(0,E25-N(D25)))</f>
        <v/>
      </c>
      <c r="G25" s="146" t="str">
        <f aca="false">IF(OR(E25="",E25=0),"",N(D25)/E25)</f>
        <v/>
      </c>
      <c r="H25" s="163"/>
      <c r="I25" s="142"/>
      <c r="J25" s="143"/>
      <c r="K25" s="108"/>
      <c r="L25" s="144"/>
      <c r="M25" s="145"/>
      <c r="N25" s="147" t="str">
        <f aca="false">IF(A25="","",IF(N(D25)&gt;0,P25*N(H25)/12,0))</f>
        <v/>
      </c>
      <c r="O25" s="157" t="str">
        <f aca="false">IF(OR(A25="",N(D25)&lt;=0,E25="",E25=0),"",COUNTIFS($D$5:$D$27,"&gt;0",$E$5:$E$27,"&gt;0",$H$5:$H$27,"&gt;"&amp;H25)+1)</f>
        <v/>
      </c>
      <c r="P25" s="114" t="str">
        <f aca="false">IF(A25="","",N(D25)/IF($L25="",1,IFERROR(INDEX(Setup!$C$23:$C$46,MATCH($L25,Setup!$A$23:$A$46,0)),1)))</f>
        <v/>
      </c>
      <c r="Q25" s="114" t="str">
        <f aca="false">IF(OR(A25="",E25="",E25=0),"",E25/IF($L25="",1,IFERROR(INDEX(Setup!$C$23:$C$46,MATCH($L25,Setup!$A$23:$A$46,0)),1)))</f>
        <v/>
      </c>
      <c r="R25" s="114" t="str">
        <f aca="false">IF(A25="","",N(I25)/IF($L25="",1,IFERROR(INDEX(Setup!$C$23:$C$46,MATCH($L25,Setup!$A$23:$A$46,0)),1)))</f>
        <v/>
      </c>
      <c r="S25" s="149" t="s">
        <v>842</v>
      </c>
    </row>
    <row r="26" customFormat="false" ht="15" hidden="false" customHeight="false" outlineLevel="0" collapsed="false">
      <c r="A26" s="108"/>
      <c r="B26" s="108"/>
      <c r="C26" s="144"/>
      <c r="D26" s="142"/>
      <c r="E26" s="160"/>
      <c r="F26" s="147" t="str">
        <f aca="false">IF(OR(E26="",E26=0),"",MAX(0,E26-N(D26)))</f>
        <v/>
      </c>
      <c r="G26" s="146" t="str">
        <f aca="false">IF(OR(E26="",E26=0),"",N(D26)/E26)</f>
        <v/>
      </c>
      <c r="H26" s="163"/>
      <c r="I26" s="142"/>
      <c r="J26" s="143"/>
      <c r="K26" s="108"/>
      <c r="L26" s="144"/>
      <c r="M26" s="145"/>
      <c r="N26" s="147" t="str">
        <f aca="false">IF(A26="","",IF(N(D26)&gt;0,P26*N(H26)/12,0))</f>
        <v/>
      </c>
      <c r="O26" s="157" t="str">
        <f aca="false">IF(OR(A26="",N(D26)&lt;=0,E26="",E26=0),"",COUNTIFS($D$5:$D$27,"&gt;0",$E$5:$E$27,"&gt;0",$H$5:$H$27,"&gt;"&amp;H26)+1)</f>
        <v/>
      </c>
      <c r="P26" s="114" t="str">
        <f aca="false">IF(A26="","",N(D26)/IF($L26="",1,IFERROR(INDEX(Setup!$C$23:$C$46,MATCH($L26,Setup!$A$23:$A$46,0)),1)))</f>
        <v/>
      </c>
      <c r="Q26" s="114" t="str">
        <f aca="false">IF(OR(A26="",E26="",E26=0),"",E26/IF($L26="",1,IFERROR(INDEX(Setup!$C$23:$C$46,MATCH($L26,Setup!$A$23:$A$46,0)),1)))</f>
        <v/>
      </c>
      <c r="R26" s="114" t="str">
        <f aca="false">IF(A26="","",N(I26)/IF($L26="",1,IFERROR(INDEX(Setup!$C$23:$C$46,MATCH($L26,Setup!$A$23:$A$46,0)),1)))</f>
        <v/>
      </c>
      <c r="S26" s="149" t="s">
        <v>843</v>
      </c>
    </row>
    <row r="27" customFormat="false" ht="15" hidden="false" customHeight="false" outlineLevel="0" collapsed="false">
      <c r="A27" s="108"/>
      <c r="B27" s="108"/>
      <c r="C27" s="144"/>
      <c r="D27" s="142"/>
      <c r="E27" s="160"/>
      <c r="F27" s="147" t="str">
        <f aca="false">IF(OR(E27="",E27=0),"",MAX(0,E27-N(D27)))</f>
        <v/>
      </c>
      <c r="G27" s="146" t="str">
        <f aca="false">IF(OR(E27="",E27=0),"",N(D27)/E27)</f>
        <v/>
      </c>
      <c r="H27" s="163"/>
      <c r="I27" s="142"/>
      <c r="J27" s="143"/>
      <c r="K27" s="108"/>
      <c r="L27" s="144"/>
      <c r="M27" s="145"/>
      <c r="N27" s="147" t="str">
        <f aca="false">IF(A27="","",IF(N(D27)&gt;0,P27*N(H27)/12,0))</f>
        <v/>
      </c>
      <c r="O27" s="157" t="str">
        <f aca="false">IF(OR(A27="",N(D27)&lt;=0,E27="",E27=0),"",COUNTIFS($D$5:$D$27,"&gt;0",$E$5:$E$27,"&gt;0",$H$5:$H$27,"&gt;"&amp;H27)+1)</f>
        <v/>
      </c>
      <c r="P27" s="114" t="str">
        <f aca="false">IF(A27="","",N(D27)/IF($L27="",1,IFERROR(INDEX(Setup!$C$23:$C$46,MATCH($L27,Setup!$A$23:$A$46,0)),1)))</f>
        <v/>
      </c>
      <c r="Q27" s="114" t="str">
        <f aca="false">IF(OR(A27="",E27="",E27=0),"",E27/IF($L27="",1,IFERROR(INDEX(Setup!$C$23:$C$46,MATCH($L27,Setup!$A$23:$A$46,0)),1)))</f>
        <v/>
      </c>
      <c r="R27" s="114" t="str">
        <f aca="false">IF(A27="","",N(I27)/IF($L27="",1,IFERROR(INDEX(Setup!$C$23:$C$46,MATCH($L27,Setup!$A$23:$A$46,0)),1)))</f>
        <v/>
      </c>
      <c r="S27" s="149" t="s">
        <v>844</v>
      </c>
    </row>
    <row r="28" customFormat="false" ht="15" hidden="false" customHeight="false" outlineLevel="0" collapsed="false">
      <c r="A28" s="151" t="s">
        <v>845</v>
      </c>
      <c r="B28" s="155"/>
      <c r="C28" s="155"/>
      <c r="D28" s="152" t="n">
        <f aca="false">SUMIF(E5:E27,"&gt;0",P5:P27)</f>
        <v>0</v>
      </c>
      <c r="E28" s="152" t="n">
        <f aca="false">SUM(Q5:Q27)</f>
        <v>0</v>
      </c>
      <c r="F28" s="152" t="n">
        <f aca="false">MAX(0,E28-D28)</f>
        <v>0</v>
      </c>
      <c r="G28" s="153" t="n">
        <f aca="false">IF(E28=0,0,D28/E28)</f>
        <v>0</v>
      </c>
      <c r="H28" s="155"/>
      <c r="I28" s="152" t="n">
        <f aca="false">SUMIF(E5:E27,"&gt;0",R5:R27)</f>
        <v>0</v>
      </c>
      <c r="J28" s="155"/>
      <c r="K28" s="155"/>
      <c r="L28" s="155"/>
      <c r="M28" s="21" t="s">
        <v>846</v>
      </c>
      <c r="N28" s="152" t="n">
        <f aca="false">SUMIF(E5:E27,"&gt;0",N5:N27)</f>
        <v>0</v>
      </c>
      <c r="O28" s="155"/>
      <c r="P28" s="155"/>
      <c r="Q28" s="155"/>
      <c r="R28" s="155"/>
    </row>
    <row r="29" customFormat="false" ht="15" hidden="false" customHeight="false" outlineLevel="0" collapsed="false">
      <c r="A29" s="151" t="s">
        <v>847</v>
      </c>
      <c r="B29" s="155"/>
      <c r="C29" s="155"/>
      <c r="D29" s="152" t="n">
        <f aca="false">SUMIF(E5:E27,"",P5:P27)</f>
        <v>0</v>
      </c>
      <c r="H29" s="155"/>
      <c r="I29" s="152" t="n">
        <f aca="false">SUMIF(E5:E27,"",R5:R27)</f>
        <v>0</v>
      </c>
      <c r="J29" s="155"/>
      <c r="K29" s="155"/>
      <c r="L29" s="155"/>
      <c r="N29" s="152" t="n">
        <f aca="false">SUMIF(E5:E27,"",N5:N27)</f>
        <v>0</v>
      </c>
      <c r="O29" s="155"/>
      <c r="P29" s="155"/>
      <c r="Q29" s="155"/>
      <c r="R29" s="155"/>
    </row>
    <row r="30" customFormat="false" ht="15" hidden="false" customHeight="false" outlineLevel="0" collapsed="false">
      <c r="A30" s="151" t="s">
        <v>848</v>
      </c>
      <c r="B30" s="155"/>
      <c r="C30" s="155"/>
      <c r="D30" s="152" t="n">
        <f aca="false">D28+D29</f>
        <v>0</v>
      </c>
      <c r="H30" s="155"/>
      <c r="I30" s="152" t="n">
        <f aca="false">I28+I29</f>
        <v>0</v>
      </c>
      <c r="J30" s="155"/>
      <c r="K30" s="155"/>
      <c r="L30" s="155"/>
      <c r="N30" s="152" t="n">
        <f aca="false">N28+N29</f>
        <v>0</v>
      </c>
      <c r="O30" s="155"/>
      <c r="P30" s="155"/>
      <c r="Q30" s="155"/>
      <c r="R30" s="155"/>
    </row>
    <row r="33" customFormat="false" ht="18.75" hidden="false" customHeight="true" outlineLevel="0" collapsed="false">
      <c r="A33" s="56" t="s">
        <v>849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customFormat="false" ht="25.35" hidden="false" customHeight="false" outlineLevel="0" collapsed="false">
      <c r="A34" s="151" t="s">
        <v>850</v>
      </c>
      <c r="B34" s="151" t="s">
        <v>851</v>
      </c>
      <c r="C34" s="164" t="n">
        <f aca="false">Forecast!C$3</f>
        <v>46296</v>
      </c>
      <c r="D34" s="164" t="n">
        <f aca="false">Forecast!D$3</f>
        <v>46327</v>
      </c>
      <c r="E34" s="164" t="n">
        <f aca="false">Forecast!E$3</f>
        <v>46357</v>
      </c>
      <c r="F34" s="164" t="n">
        <f aca="false">Forecast!F$3</f>
        <v>46388</v>
      </c>
      <c r="G34" s="164" t="n">
        <f aca="false">Forecast!G$3</f>
        <v>46419</v>
      </c>
      <c r="H34" s="164" t="n">
        <f aca="false">Forecast!H$3</f>
        <v>46447</v>
      </c>
      <c r="I34" s="164" t="n">
        <f aca="false">Forecast!I$3</f>
        <v>46478</v>
      </c>
      <c r="J34" s="164" t="n">
        <f aca="false">Forecast!J$3</f>
        <v>46508</v>
      </c>
      <c r="K34" s="164" t="n">
        <f aca="false">Forecast!K$3</f>
        <v>46539</v>
      </c>
      <c r="L34" s="164" t="n">
        <f aca="false">Forecast!L$3</f>
        <v>46569</v>
      </c>
      <c r="M34" s="164" t="n">
        <f aca="false">Forecast!M$3</f>
        <v>46600</v>
      </c>
      <c r="N34" s="164" t="n">
        <f aca="false">Forecast!N$3</f>
        <v>46631</v>
      </c>
      <c r="O34" s="164" t="n">
        <f aca="false">Forecast!O$3</f>
        <v>46661</v>
      </c>
      <c r="P34" s="164" t="n">
        <f aca="false">Forecast!P$3</f>
        <v>46692</v>
      </c>
      <c r="Q34" s="164" t="n">
        <f aca="false">Forecast!Q$3</f>
        <v>46722</v>
      </c>
      <c r="R34" s="164" t="n">
        <f aca="false">Forecast!R$3</f>
        <v>46753</v>
      </c>
      <c r="S34" s="164" t="n">
        <f aca="false">Forecast!S$3</f>
        <v>46784</v>
      </c>
      <c r="T34" s="164" t="n">
        <f aca="false">Forecast!T$3</f>
        <v>46813</v>
      </c>
      <c r="U34" s="164" t="n">
        <f aca="false">Forecast!U$3</f>
        <v>46844</v>
      </c>
      <c r="V34" s="164" t="n">
        <f aca="false">Forecast!V$3</f>
        <v>46874</v>
      </c>
      <c r="W34" s="151" t="s">
        <v>852</v>
      </c>
    </row>
    <row r="35" customFormat="false" ht="15" hidden="false" customHeight="false" outlineLevel="0" collapsed="false">
      <c r="A35" s="108"/>
      <c r="B35" s="165" t="str">
        <f aca="false">IF(A35="","",IFERROR(INDEX($P$5:$P$27,MATCH(A35,$A$5:$A$27,0)),0))</f>
        <v/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5" t="str">
        <f aca="false">IF(A35="","",B35-SUM(C35:V35))</f>
        <v/>
      </c>
    </row>
    <row r="36" customFormat="false" ht="15" hidden="false" customHeight="false" outlineLevel="0" collapsed="false">
      <c r="A36" s="108"/>
      <c r="B36" s="165" t="str">
        <f aca="false">IF(A36="","",IFERROR(INDEX($P$5:$P$27,MATCH(A36,$A$5:$A$27,0)),0))</f>
        <v/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5" t="str">
        <f aca="false">IF(A36="","",B36-SUM(C36:V36))</f>
        <v/>
      </c>
    </row>
    <row r="37" customFormat="false" ht="15" hidden="false" customHeight="false" outlineLevel="0" collapsed="false">
      <c r="A37" s="108"/>
      <c r="B37" s="165" t="str">
        <f aca="false">IF(A37="","",IFERROR(INDEX($P$5:$P$27,MATCH(A37,$A$5:$A$27,0)),0))</f>
        <v/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5" t="str">
        <f aca="false">IF(A37="","",B37-SUM(C37:V37))</f>
        <v/>
      </c>
    </row>
    <row r="38" customFormat="false" ht="15" hidden="false" customHeight="false" outlineLevel="0" collapsed="false">
      <c r="A38" s="108"/>
      <c r="B38" s="165" t="str">
        <f aca="false">IF(A38="","",IFERROR(INDEX($P$5:$P$27,MATCH(A38,$A$5:$A$27,0)),0))</f>
        <v/>
      </c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5" t="str">
        <f aca="false">IF(A38="","",B38-SUM(C38:V38))</f>
        <v/>
      </c>
    </row>
    <row r="39" customFormat="false" ht="15" hidden="false" customHeight="false" outlineLevel="0" collapsed="false">
      <c r="A39" s="108"/>
      <c r="B39" s="165" t="str">
        <f aca="false">IF(A39="","",IFERROR(INDEX($P$5:$P$27,MATCH(A39,$A$5:$A$27,0)),0))</f>
        <v/>
      </c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5" t="str">
        <f aca="false">IF(A39="","",B39-SUM(C39:V39))</f>
        <v/>
      </c>
    </row>
    <row r="40" customFormat="false" ht="15" hidden="false" customHeight="false" outlineLevel="0" collapsed="false">
      <c r="A40" s="108"/>
      <c r="B40" s="165" t="str">
        <f aca="false">IF(A40="","",IFERROR(INDEX($P$5:$P$27,MATCH(A40,$A$5:$A$27,0)),0))</f>
        <v/>
      </c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5" t="str">
        <f aca="false">IF(A40="","",B40-SUM(C40:V40))</f>
        <v/>
      </c>
    </row>
    <row r="41" customFormat="false" ht="15" hidden="false" customHeight="false" outlineLevel="0" collapsed="false">
      <c r="A41" s="108"/>
      <c r="B41" s="165" t="str">
        <f aca="false">IF(A41="","",IFERROR(INDEX($P$5:$P$27,MATCH(A41,$A$5:$A$27,0)),0))</f>
        <v/>
      </c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5" t="str">
        <f aca="false">IF(A41="","",B41-SUM(C41:V41))</f>
        <v/>
      </c>
    </row>
    <row r="42" customFormat="false" ht="15" hidden="false" customHeight="false" outlineLevel="0" collapsed="false">
      <c r="A42" s="151" t="s">
        <v>853</v>
      </c>
      <c r="C42" s="152" t="n">
        <f aca="false">SUM(C35:C41)</f>
        <v>0</v>
      </c>
      <c r="D42" s="152" t="n">
        <f aca="false">SUM(D35:D41)</f>
        <v>0</v>
      </c>
      <c r="E42" s="152" t="n">
        <f aca="false">SUM(E35:E41)</f>
        <v>0</v>
      </c>
      <c r="F42" s="152" t="n">
        <f aca="false">SUM(F35:F41)</f>
        <v>0</v>
      </c>
      <c r="G42" s="152" t="n">
        <f aca="false">SUM(G35:G41)</f>
        <v>0</v>
      </c>
      <c r="H42" s="152" t="n">
        <f aca="false">SUM(H35:H41)</f>
        <v>0</v>
      </c>
      <c r="I42" s="152" t="n">
        <f aca="false">SUM(I35:I41)</f>
        <v>0</v>
      </c>
      <c r="J42" s="152" t="n">
        <f aca="false">SUM(J35:J41)</f>
        <v>0</v>
      </c>
      <c r="K42" s="152" t="n">
        <f aca="false">SUM(K35:K41)</f>
        <v>0</v>
      </c>
      <c r="L42" s="152" t="n">
        <f aca="false">SUM(L35:L41)</f>
        <v>0</v>
      </c>
      <c r="M42" s="152" t="n">
        <f aca="false">SUM(M35:M41)</f>
        <v>0</v>
      </c>
      <c r="N42" s="152" t="n">
        <f aca="false">SUM(N35:N41)</f>
        <v>0</v>
      </c>
      <c r="O42" s="152" t="n">
        <f aca="false">SUM(O35:O41)</f>
        <v>0</v>
      </c>
      <c r="P42" s="152" t="n">
        <f aca="false">SUM(P35:P41)</f>
        <v>0</v>
      </c>
      <c r="Q42" s="152" t="n">
        <f aca="false">SUM(Q35:Q41)</f>
        <v>0</v>
      </c>
      <c r="R42" s="152" t="n">
        <f aca="false">SUM(R35:R41)</f>
        <v>0</v>
      </c>
      <c r="S42" s="152" t="n">
        <f aca="false">SUM(S35:S41)</f>
        <v>0</v>
      </c>
      <c r="T42" s="152" t="n">
        <f aca="false">SUM(T35:T41)</f>
        <v>0</v>
      </c>
      <c r="U42" s="152" t="n">
        <f aca="false">SUM(U35:U41)</f>
        <v>0</v>
      </c>
      <c r="V42" s="152" t="n">
        <f aca="false">SUM(V35:V41)</f>
        <v>0</v>
      </c>
    </row>
    <row r="43" customFormat="false" ht="15" hidden="false" customHeight="false" outlineLevel="0" collapsed="false">
      <c r="A43" s="21" t="s">
        <v>854</v>
      </c>
    </row>
  </sheetData>
  <sheetProtection sheet="true" scenarios="true" formatCells="false" formatColumns="false" formatRows="false" sort="false" autoFilter="false"/>
  <mergeCells count="10">
    <mergeCell ref="B2:C2"/>
    <mergeCell ref="E2:F2"/>
    <mergeCell ref="G2:H2"/>
    <mergeCell ref="I2:K2"/>
    <mergeCell ref="L2:M2"/>
    <mergeCell ref="B3:C3"/>
    <mergeCell ref="E3:F3"/>
    <mergeCell ref="G3:H3"/>
    <mergeCell ref="I3:K3"/>
    <mergeCell ref="L3:M3"/>
  </mergeCells>
  <conditionalFormatting sqref="A5:R27">
    <cfRule type="expression" priority="2" aboveAverage="0" equalAverage="0" bottom="0" percent="0" rank="0" text="" dxfId="5">
      <formula>MOD(ROW(),2)=0</formula>
    </cfRule>
    <cfRule type="expression" priority="3" aboveAverage="0" equalAverage="0" bottom="0" percent="0" rank="0" text="" dxfId="10">
      <formula>OR($B5="Auto loan",$B5="Mortgage",$B5="Student loan",$B5="Personal loan")</formula>
    </cfRule>
    <cfRule type="expression" priority="4" aboveAverage="0" equalAverage="0" bottom="0" percent="0" rank="0" text="" dxfId="11">
      <formula>ISNUMBER(SEARCH("example",$A5))</formula>
    </cfRule>
  </conditionalFormatting>
  <conditionalFormatting sqref="G5:G27">
    <cfRule type="dataBar" priority="5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{7662EA69-4AA0-4772-8E76-17C8A0EEDD5C}</x14:id>
        </ext>
      </extLst>
    </cfRule>
  </conditionalFormatting>
  <conditionalFormatting sqref="H5:H27">
    <cfRule type="cellIs" priority="6" operator="greaterThanOrEqual" aboveAverage="0" equalAverage="0" bottom="0" percent="0" rank="0" text="" dxfId="7">
      <formula>0.25</formula>
    </cfRule>
  </conditionalFormatting>
  <conditionalFormatting sqref="O5:O27">
    <cfRule type="cellIs" priority="7" operator="equal" aboveAverage="0" equalAverage="0" bottom="0" percent="0" rank="0" text="" dxfId="12">
      <formula>1</formula>
    </cfRule>
  </conditionalFormatting>
  <conditionalFormatting sqref="P5:R27">
    <cfRule type="expression" priority="8" aboveAverage="0" equalAverage="0" bottom="0" percent="0" rank="0" text="" dxfId="9">
      <formula>$L5&lt;&gt;""</formula>
    </cfRule>
  </conditionalFormatting>
  <conditionalFormatting sqref="A35:W41">
    <cfRule type="expression" priority="9" aboveAverage="0" equalAverage="0" bottom="0" percent="0" rank="0" text="" dxfId="5">
      <formula>MOD(ROW(),2)=0</formula>
    </cfRule>
  </conditionalFormatting>
  <dataValidations count="5">
    <dataValidation allowBlank="true" errorStyle="stop" operator="between" showDropDown="false" showErrorMessage="false" showInputMessage="false" sqref="B5:B27" type="list">
      <formula1>Lists!$P$5:$P$59</formula1>
      <formula2>0</formula2>
    </dataValidation>
    <dataValidation allowBlank="true" errorStyle="stop" operator="between" showDropDown="false" showErrorMessage="false" showInputMessage="false" sqref="C5:C27" type="list">
      <formula1>"Me,Partner,Joint"</formula1>
      <formula2>0</formula2>
    </dataValidation>
    <dataValidation allowBlank="true" errorStyle="stop" operator="between" showDropDown="false" showErrorMessage="false" showInputMessage="false" sqref="A5:A27" type="list">
      <formula1>Lists!$J$5:$J$88</formula1>
      <formula2>0</formula2>
    </dataValidation>
    <dataValidation allowBlank="true" errorStyle="stop" operator="between" showDropDown="false" showErrorMessage="false" showInputMessage="false" sqref="L5:L27" type="list">
      <formula1>Setup!$A$23:$A$46</formula1>
      <formula2>0</formula2>
    </dataValidation>
    <dataValidation allowBlank="true" errorStyle="stop" operator="between" showDropDown="false" showErrorMessage="false" showInputMessage="false" sqref="A35:A41" type="list">
      <formula1>'Debts &amp; Credit'!$A$5:$A$27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Debts Credit&amp;R&amp;8 Page &amp;P of &amp;N · printed &amp;D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62EA69-4AA0-4772-8E76-17C8A0EEDD5C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G5:G27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36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2"/>
    <col collapsed="false" customWidth="true" hidden="false" outlineLevel="0" max="11" min="11" style="0" width="22"/>
    <col collapsed="false" customWidth="true" hidden="false" outlineLevel="0" max="12" min="12" style="0" width="13"/>
    <col collapsed="false" customWidth="true" hidden="false" outlineLevel="0" max="13" min="13" style="0" width="2"/>
    <col collapsed="false" customWidth="true" hidden="false" outlineLevel="0" max="14" min="14" style="0" width="8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855</v>
      </c>
      <c r="B2" s="139" t="s">
        <v>106</v>
      </c>
      <c r="C2" s="139" t="s">
        <v>856</v>
      </c>
      <c r="D2" s="139"/>
      <c r="E2" s="139" t="s">
        <v>857</v>
      </c>
      <c r="F2" s="139"/>
      <c r="G2" s="139" t="s">
        <v>858</v>
      </c>
    </row>
    <row r="3" customFormat="false" ht="24" hidden="false" customHeight="true" outlineLevel="0" collapsed="false">
      <c r="B3" s="140" t="n">
        <f aca="false">C18</f>
        <v>0</v>
      </c>
      <c r="C3" s="140" t="n">
        <f aca="false">F15</f>
        <v>0</v>
      </c>
      <c r="D3" s="140"/>
      <c r="E3" s="140" t="n">
        <f aca="false">D24</f>
        <v>0</v>
      </c>
      <c r="F3" s="140"/>
      <c r="G3" s="140" t="n">
        <f aca="false">D33</f>
        <v>0</v>
      </c>
    </row>
    <row r="4" customFormat="false" ht="18.75" hidden="false" customHeight="true" outlineLevel="0" collapsed="false">
      <c r="A4" s="107" t="s">
        <v>859</v>
      </c>
      <c r="B4" s="107" t="s">
        <v>860</v>
      </c>
      <c r="C4" s="107" t="s">
        <v>803</v>
      </c>
      <c r="D4" s="107" t="s">
        <v>861</v>
      </c>
      <c r="E4" s="107" t="s">
        <v>160</v>
      </c>
      <c r="F4" s="107" t="s">
        <v>862</v>
      </c>
      <c r="G4" s="107" t="s">
        <v>163</v>
      </c>
      <c r="H4" s="107" t="s">
        <v>162</v>
      </c>
      <c r="I4" s="107" t="s">
        <v>863</v>
      </c>
      <c r="K4" s="56" t="s">
        <v>864</v>
      </c>
      <c r="L4" s="3"/>
      <c r="N4" s="141" t="s">
        <v>700</v>
      </c>
    </row>
    <row r="5" customFormat="false" ht="19.5" hidden="false" customHeight="true" outlineLevel="0" collapsed="false">
      <c r="A5" s="108" t="s">
        <v>52</v>
      </c>
      <c r="B5" s="108"/>
      <c r="C5" s="144" t="s">
        <v>816</v>
      </c>
      <c r="D5" s="142"/>
      <c r="E5" s="144"/>
      <c r="F5" s="159" t="n">
        <f aca="false">IF(A5="","",N(D5)/IF(E5="",1,IFERROR(INDEX(Setup!$C$23:$C$46,MATCH(E5,Setup!$A$23:$A$46,0)),1)))</f>
        <v>0</v>
      </c>
      <c r="G5" s="145" t="s">
        <v>865</v>
      </c>
      <c r="H5" s="166"/>
      <c r="I5" s="156" t="str">
        <f aca="true">IF(H5="","",IF(TODAY()-H5&gt;35,"stale","ok"))</f>
        <v/>
      </c>
      <c r="K5" s="107" t="s">
        <v>803</v>
      </c>
      <c r="L5" s="107" t="s">
        <v>866</v>
      </c>
      <c r="N5" s="149" t="s">
        <v>867</v>
      </c>
    </row>
    <row r="6" customFormat="false" ht="15" hidden="false" customHeight="false" outlineLevel="0" collapsed="false">
      <c r="A6" s="108" t="s">
        <v>252</v>
      </c>
      <c r="B6" s="108"/>
      <c r="C6" s="144" t="s">
        <v>816</v>
      </c>
      <c r="D6" s="142"/>
      <c r="E6" s="144"/>
      <c r="F6" s="159" t="n">
        <f aca="false">IF(A6="","",N(D6)/IF(E6="",1,IFERROR(INDEX(Setup!$C$23:$C$46,MATCH(E6,Setup!$A$23:$A$46,0)),1)))</f>
        <v>0</v>
      </c>
      <c r="G6" s="145"/>
      <c r="H6" s="166"/>
      <c r="I6" s="156" t="str">
        <f aca="true">IF(H6="","",IF(TODAY()-H6&gt;35,"stale","ok"))</f>
        <v/>
      </c>
      <c r="K6" s="150" t="s">
        <v>816</v>
      </c>
      <c r="L6" s="147" t="n">
        <f aca="false">SUMIF($C$5:$C$15,K6,$F$5:$F$15)</f>
        <v>0</v>
      </c>
      <c r="N6" s="149" t="s">
        <v>868</v>
      </c>
    </row>
    <row r="7" customFormat="false" ht="15" hidden="false" customHeight="false" outlineLevel="0" collapsed="false">
      <c r="A7" s="108" t="s">
        <v>869</v>
      </c>
      <c r="B7" s="108"/>
      <c r="C7" s="144" t="s">
        <v>870</v>
      </c>
      <c r="D7" s="142"/>
      <c r="E7" s="144"/>
      <c r="F7" s="159" t="n">
        <f aca="false">IF(A7="","",N(D7)/IF(E7="",1,IFERROR(INDEX(Setup!$C$23:$C$46,MATCH(E7,Setup!$A$23:$A$46,0)),1)))</f>
        <v>0</v>
      </c>
      <c r="G7" s="145" t="s">
        <v>871</v>
      </c>
      <c r="H7" s="166"/>
      <c r="I7" s="156" t="str">
        <f aca="true">IF(H7="","",IF(TODAY()-H7&gt;35,"stale","ok"))</f>
        <v/>
      </c>
      <c r="K7" s="150" t="s">
        <v>870</v>
      </c>
      <c r="L7" s="147" t="n">
        <f aca="false">SUMIF($C$5:$C$15,K7,$F$5:$F$15)</f>
        <v>0</v>
      </c>
      <c r="N7" s="149" t="s">
        <v>872</v>
      </c>
    </row>
    <row r="8" customFormat="false" ht="15" hidden="false" customHeight="false" outlineLevel="0" collapsed="false">
      <c r="A8" s="108" t="s">
        <v>873</v>
      </c>
      <c r="B8" s="108"/>
      <c r="C8" s="144" t="s">
        <v>870</v>
      </c>
      <c r="D8" s="142"/>
      <c r="E8" s="144"/>
      <c r="F8" s="159" t="n">
        <f aca="false">IF(A8="","",N(D8)/IF(E8="",1,IFERROR(INDEX(Setup!$C$23:$C$46,MATCH(E8,Setup!$A$23:$A$46,0)),1)))</f>
        <v>0</v>
      </c>
      <c r="G8" s="145"/>
      <c r="H8" s="166"/>
      <c r="I8" s="156" t="str">
        <f aca="true">IF(H8="","",IF(TODAY()-H8&gt;35,"stale","ok"))</f>
        <v/>
      </c>
      <c r="K8" s="150" t="s">
        <v>823</v>
      </c>
      <c r="L8" s="147" t="n">
        <f aca="false">SUMIF($C$5:$C$15,K8,$F$5:$F$15)</f>
        <v>0</v>
      </c>
      <c r="N8" s="149" t="s">
        <v>874</v>
      </c>
    </row>
    <row r="9" customFormat="false" ht="15" hidden="false" customHeight="false" outlineLevel="0" collapsed="false">
      <c r="A9" s="108" t="s">
        <v>875</v>
      </c>
      <c r="B9" s="108"/>
      <c r="C9" s="144" t="s">
        <v>823</v>
      </c>
      <c r="D9" s="142"/>
      <c r="E9" s="144"/>
      <c r="F9" s="159" t="n">
        <f aca="false">IF(A9="","",N(D9)/IF(E9="",1,IFERROR(INDEX(Setup!$C$23:$C$46,MATCH(E9,Setup!$A$23:$A$46,0)),1)))</f>
        <v>0</v>
      </c>
      <c r="G9" s="145"/>
      <c r="H9" s="166"/>
      <c r="I9" s="156" t="str">
        <f aca="true">IF(H9="","",IF(TODAY()-H9&gt;35,"stale","ok"))</f>
        <v/>
      </c>
      <c r="K9" s="151" t="s">
        <v>723</v>
      </c>
      <c r="L9" s="152" t="n">
        <f aca="false">SUM(L6:L8)</f>
        <v>0</v>
      </c>
      <c r="N9" s="149" t="s">
        <v>876</v>
      </c>
    </row>
    <row r="10" customFormat="false" ht="15" hidden="false" customHeight="false" outlineLevel="0" collapsed="false">
      <c r="A10" s="108" t="s">
        <v>877</v>
      </c>
      <c r="B10" s="108"/>
      <c r="C10" s="144" t="s">
        <v>816</v>
      </c>
      <c r="D10" s="142"/>
      <c r="E10" s="144"/>
      <c r="F10" s="159" t="n">
        <f aca="false">IF(A10="","",N(D10)/IF(E10="",1,IFERROR(INDEX(Setup!$C$23:$C$46,MATCH(E10,Setup!$A$23:$A$46,0)),1)))</f>
        <v>0</v>
      </c>
      <c r="G10" s="145"/>
      <c r="H10" s="166"/>
      <c r="I10" s="156" t="str">
        <f aca="true">IF(H10="","",IF(TODAY()-H10&gt;35,"stale","ok"))</f>
        <v/>
      </c>
      <c r="N10" s="149" t="s">
        <v>878</v>
      </c>
    </row>
    <row r="11" customFormat="false" ht="15" hidden="false" customHeight="false" outlineLevel="0" collapsed="false">
      <c r="A11" s="108" t="s">
        <v>286</v>
      </c>
      <c r="B11" s="108"/>
      <c r="C11" s="144" t="s">
        <v>816</v>
      </c>
      <c r="D11" s="142"/>
      <c r="E11" s="144"/>
      <c r="F11" s="159" t="n">
        <f aca="false">IF(A11="","",N(D11)/IF(E11="",1,IFERROR(INDEX(Setup!$C$23:$C$46,MATCH(E11,Setup!$A$23:$A$46,0)),1)))</f>
        <v>0</v>
      </c>
      <c r="G11" s="145"/>
      <c r="H11" s="166"/>
      <c r="I11" s="156" t="str">
        <f aca="true">IF(H11="","",IF(TODAY()-H11&gt;35,"stale","ok"))</f>
        <v/>
      </c>
      <c r="N11" s="149" t="s">
        <v>879</v>
      </c>
    </row>
    <row r="12" customFormat="false" ht="18.75" hidden="false" customHeight="true" outlineLevel="0" collapsed="false">
      <c r="A12" s="108" t="s">
        <v>880</v>
      </c>
      <c r="B12" s="108"/>
      <c r="C12" s="144" t="s">
        <v>816</v>
      </c>
      <c r="D12" s="142"/>
      <c r="E12" s="144"/>
      <c r="F12" s="159" t="n">
        <f aca="false">IF(A12="","",N(D12)/IF(E12="",1,IFERROR(INDEX(Setup!$C$23:$C$46,MATCH(E12,Setup!$A$23:$A$46,0)),1)))</f>
        <v>0</v>
      </c>
      <c r="G12" s="145" t="s">
        <v>881</v>
      </c>
      <c r="H12" s="166"/>
      <c r="I12" s="156" t="str">
        <f aca="true">IF(H12="","",IF(TODAY()-H12&gt;35,"stale","ok"))</f>
        <v/>
      </c>
      <c r="K12" s="56" t="s">
        <v>882</v>
      </c>
      <c r="L12" s="3"/>
      <c r="N12" s="149" t="s">
        <v>883</v>
      </c>
    </row>
    <row r="13" customFormat="false" ht="19.5" hidden="false" customHeight="true" outlineLevel="0" collapsed="false">
      <c r="A13" s="108" t="s">
        <v>884</v>
      </c>
      <c r="B13" s="108"/>
      <c r="C13" s="144" t="s">
        <v>816</v>
      </c>
      <c r="D13" s="142"/>
      <c r="E13" s="144"/>
      <c r="F13" s="159" t="n">
        <f aca="false">IF(A13="","",N(D13)/IF(E13="",1,IFERROR(INDEX(Setup!$C$23:$C$46,MATCH(E13,Setup!$A$23:$A$46,0)),1)))</f>
        <v>0</v>
      </c>
      <c r="G13" s="145"/>
      <c r="H13" s="166"/>
      <c r="I13" s="156" t="str">
        <f aca="true">IF(H13="","",IF(TODAY()-H13&gt;35,"stale","ok"))</f>
        <v/>
      </c>
      <c r="K13" s="107" t="s">
        <v>885</v>
      </c>
      <c r="L13" s="107" t="s">
        <v>48</v>
      </c>
      <c r="N13" s="149" t="s">
        <v>886</v>
      </c>
    </row>
    <row r="14" customFormat="false" ht="15" hidden="false" customHeight="false" outlineLevel="0" collapsed="false">
      <c r="A14" s="108" t="s">
        <v>887</v>
      </c>
      <c r="B14" s="108"/>
      <c r="C14" s="144" t="s">
        <v>816</v>
      </c>
      <c r="D14" s="142"/>
      <c r="E14" s="144"/>
      <c r="F14" s="159" t="n">
        <f aca="false">IF(A14="","",N(D14)/IF(E14="",1,IFERROR(INDEX(Setup!$C$23:$C$46,MATCH(E14,Setup!$A$23:$A$46,0)),1)))</f>
        <v>0</v>
      </c>
      <c r="G14" s="145"/>
      <c r="H14" s="166"/>
      <c r="I14" s="156" t="str">
        <f aca="true">IF(H14="","",IF(TODAY()-H14&gt;35,"stale","ok"))</f>
        <v/>
      </c>
      <c r="K14" s="150" t="s">
        <v>888</v>
      </c>
      <c r="L14" s="147" t="n">
        <f aca="false">C16+C17</f>
        <v>0</v>
      </c>
      <c r="N14" s="149" t="s">
        <v>889</v>
      </c>
    </row>
    <row r="15" customFormat="false" ht="15" hidden="false" customHeight="false" outlineLevel="0" collapsed="false">
      <c r="A15" s="108" t="s">
        <v>890</v>
      </c>
      <c r="B15" s="108"/>
      <c r="C15" s="144" t="s">
        <v>816</v>
      </c>
      <c r="D15" s="142"/>
      <c r="E15" s="144"/>
      <c r="F15" s="159" t="n">
        <f aca="false">IF(A15="","",N(D15)/IF(E15="",1,IFERROR(INDEX(Setup!$C$23:$C$46,MATCH(E15,Setup!$A$23:$A$46,0)),1)))</f>
        <v>0</v>
      </c>
      <c r="G15" s="145" t="s">
        <v>891</v>
      </c>
      <c r="H15" s="166"/>
      <c r="I15" s="156" t="str">
        <f aca="true">IF(H15="","",IF(TODAY()-H15&gt;35,"stale","ok"))</f>
        <v/>
      </c>
      <c r="K15" s="150" t="s">
        <v>892</v>
      </c>
      <c r="L15" s="147" t="n">
        <f aca="false">D24</f>
        <v>0</v>
      </c>
      <c r="N15" s="149" t="s">
        <v>893</v>
      </c>
    </row>
    <row r="16" customFormat="false" ht="15" hidden="false" customHeight="false" outlineLevel="0" collapsed="false">
      <c r="A16" s="151" t="s">
        <v>894</v>
      </c>
      <c r="B16" s="155"/>
      <c r="C16" s="152" t="n">
        <f aca="false">SUMIF(C5:C15,"Me",F5:F15)+SUMIF(C5:C15,"Joint",F5:F15)</f>
        <v>0</v>
      </c>
      <c r="D16" s="155"/>
      <c r="E16" s="155"/>
      <c r="F16" s="155"/>
      <c r="G16" s="155"/>
      <c r="K16" s="150" t="s">
        <v>21</v>
      </c>
      <c r="L16" s="147" t="n">
        <f aca="false">N(D27)</f>
        <v>0</v>
      </c>
    </row>
    <row r="17" customFormat="false" ht="15" hidden="false" customHeight="false" outlineLevel="0" collapsed="false">
      <c r="A17" s="151" t="s">
        <v>895</v>
      </c>
      <c r="B17" s="155"/>
      <c r="C17" s="152" t="n">
        <f aca="false">SUMIF(C5:C15,"Partner",F5:F15)</f>
        <v>0</v>
      </c>
      <c r="D17" s="155"/>
      <c r="E17" s="155"/>
      <c r="F17" s="155"/>
      <c r="G17" s="155"/>
      <c r="K17" s="150" t="s">
        <v>896</v>
      </c>
      <c r="L17" s="147" t="n">
        <f aca="false">N(D30)</f>
        <v>0</v>
      </c>
    </row>
    <row r="18" customFormat="false" ht="15" hidden="false" customHeight="false" outlineLevel="0" collapsed="false">
      <c r="A18" s="151" t="s">
        <v>897</v>
      </c>
      <c r="B18" s="155"/>
      <c r="C18" s="152" t="n">
        <f aca="false">C16+IF(Setup!$B$7="Yes",C17,0)</f>
        <v>0</v>
      </c>
      <c r="D18" s="155"/>
      <c r="E18" s="155"/>
      <c r="F18" s="155"/>
      <c r="G18" s="155"/>
      <c r="K18" s="150" t="s">
        <v>316</v>
      </c>
      <c r="L18" s="147" t="n">
        <f aca="false">-D28</f>
        <v>-0</v>
      </c>
    </row>
    <row r="19" customFormat="false" ht="15" hidden="false" customHeight="false" outlineLevel="0" collapsed="false">
      <c r="K19" s="150" t="s">
        <v>898</v>
      </c>
      <c r="L19" s="147" t="n">
        <f aca="false">-D31</f>
        <v>-0</v>
      </c>
    </row>
    <row r="20" customFormat="false" ht="19.5" hidden="false" customHeight="true" outlineLevel="0" collapsed="false">
      <c r="A20" s="107" t="s">
        <v>899</v>
      </c>
      <c r="B20" s="107" t="s">
        <v>900</v>
      </c>
      <c r="C20" s="107" t="s">
        <v>803</v>
      </c>
      <c r="D20" s="107" t="s">
        <v>861</v>
      </c>
      <c r="E20" s="107" t="s">
        <v>160</v>
      </c>
      <c r="F20" s="107" t="s">
        <v>862</v>
      </c>
      <c r="G20" s="107" t="s">
        <v>163</v>
      </c>
      <c r="H20" s="107" t="s">
        <v>162</v>
      </c>
      <c r="I20" s="107" t="s">
        <v>863</v>
      </c>
      <c r="K20" s="150" t="s">
        <v>901</v>
      </c>
      <c r="L20" s="114" t="n">
        <f aca="false">-'Debts &amp; Credit'!$D$28</f>
        <v>-0</v>
      </c>
    </row>
    <row r="21" customFormat="false" ht="15" hidden="false" customHeight="false" outlineLevel="0" collapsed="false">
      <c r="A21" s="108" t="s">
        <v>902</v>
      </c>
      <c r="B21" s="108"/>
      <c r="C21" s="144" t="s">
        <v>816</v>
      </c>
      <c r="D21" s="142"/>
      <c r="E21" s="144"/>
      <c r="F21" s="159" t="n">
        <f aca="false">IF(A21="","",N(D21)/IF(E21="",1,IFERROR(INDEX(Setup!$C$23:$C$46,MATCH(E21,Setup!$A$23:$A$46,0)),1)))</f>
        <v>0</v>
      </c>
      <c r="G21" s="145" t="s">
        <v>903</v>
      </c>
      <c r="H21" s="110"/>
      <c r="I21" s="156" t="str">
        <f aca="true">IF(H21="","",IF(TODAY()-H21&gt;35,"stale","ok"))</f>
        <v/>
      </c>
      <c r="K21" s="151" t="s">
        <v>858</v>
      </c>
      <c r="L21" s="152" t="n">
        <f aca="false">SUM(L14:L20)</f>
        <v>0</v>
      </c>
    </row>
    <row r="22" customFormat="false" ht="15" hidden="false" customHeight="false" outlineLevel="0" collapsed="false">
      <c r="A22" s="108" t="s">
        <v>904</v>
      </c>
      <c r="B22" s="108"/>
      <c r="C22" s="144" t="s">
        <v>816</v>
      </c>
      <c r="D22" s="142"/>
      <c r="E22" s="144"/>
      <c r="F22" s="159" t="n">
        <f aca="false">IF(A22="","",N(D22)/IF(E22="",1,IFERROR(INDEX(Setup!$C$23:$C$46,MATCH(E22,Setup!$A$23:$A$46,0)),1)))</f>
        <v>0</v>
      </c>
      <c r="G22" s="145"/>
      <c r="H22" s="110"/>
      <c r="I22" s="156" t="str">
        <f aca="true">IF(H22="","",IF(TODAY()-H22&gt;35,"stale","ok"))</f>
        <v/>
      </c>
    </row>
    <row r="23" customFormat="false" ht="15" hidden="false" customHeight="false" outlineLevel="0" collapsed="false">
      <c r="A23" s="108" t="s">
        <v>905</v>
      </c>
      <c r="B23" s="108"/>
      <c r="C23" s="144" t="s">
        <v>870</v>
      </c>
      <c r="D23" s="142"/>
      <c r="E23" s="144"/>
      <c r="F23" s="159" t="n">
        <f aca="false">IF(A23="","",N(D23)/IF(E23="",1,IFERROR(INDEX(Setup!$C$23:$C$46,MATCH(E23,Setup!$A$23:$A$46,0)),1)))</f>
        <v>0</v>
      </c>
      <c r="G23" s="145"/>
      <c r="H23" s="110"/>
      <c r="I23" s="156" t="str">
        <f aca="true">IF(H23="","",IF(TODAY()-H23&gt;35,"stale","ok"))</f>
        <v/>
      </c>
    </row>
    <row r="24" customFormat="false" ht="15" hidden="false" customHeight="false" outlineLevel="0" collapsed="false">
      <c r="A24" s="151" t="s">
        <v>906</v>
      </c>
      <c r="B24" s="155"/>
      <c r="C24" s="155"/>
      <c r="D24" s="152" t="n">
        <f aca="false">SUM(F21:F23)</f>
        <v>0</v>
      </c>
      <c r="E24" s="155"/>
      <c r="F24" s="155"/>
      <c r="G24" s="155"/>
    </row>
    <row r="26" customFormat="false" ht="19.5" hidden="false" customHeight="true" outlineLevel="0" collapsed="false">
      <c r="A26" s="107" t="s">
        <v>907</v>
      </c>
      <c r="B26" s="107"/>
      <c r="C26" s="107"/>
      <c r="D26" s="107" t="s">
        <v>908</v>
      </c>
      <c r="E26" s="107"/>
      <c r="F26" s="107"/>
      <c r="G26" s="107" t="s">
        <v>163</v>
      </c>
      <c r="H26" s="107"/>
      <c r="I26" s="107"/>
    </row>
    <row r="27" customFormat="false" ht="15" hidden="false" customHeight="false" outlineLevel="0" collapsed="false">
      <c r="A27" s="99" t="s">
        <v>909</v>
      </c>
      <c r="D27" s="132"/>
      <c r="G27" s="21" t="s">
        <v>910</v>
      </c>
    </row>
    <row r="28" customFormat="false" ht="15" hidden="false" customHeight="false" outlineLevel="0" collapsed="false">
      <c r="A28" s="99" t="s">
        <v>911</v>
      </c>
      <c r="D28" s="121" t="n">
        <f aca="false">SUMIF('Debts &amp; Credit'!$B$5:$B$27,"Mortgage",'Debts &amp; Credit'!$P$5:$P$27)</f>
        <v>0</v>
      </c>
      <c r="G28" s="21" t="s">
        <v>912</v>
      </c>
    </row>
    <row r="29" customFormat="false" ht="15" hidden="false" customHeight="false" outlineLevel="0" collapsed="false">
      <c r="A29" s="99" t="s">
        <v>913</v>
      </c>
      <c r="D29" s="126" t="n">
        <f aca="false">N(D27)-D28</f>
        <v>0</v>
      </c>
    </row>
    <row r="30" customFormat="false" ht="15" hidden="false" customHeight="false" outlineLevel="0" collapsed="false">
      <c r="A30" s="99" t="s">
        <v>914</v>
      </c>
      <c r="D30" s="132"/>
      <c r="G30" s="21" t="s">
        <v>915</v>
      </c>
    </row>
    <row r="31" customFormat="false" ht="15" hidden="false" customHeight="false" outlineLevel="0" collapsed="false">
      <c r="A31" s="99" t="s">
        <v>916</v>
      </c>
      <c r="D31" s="121" t="n">
        <f aca="false">SUMIF('Debts &amp; Credit'!$B$5:$B$27,"Auto loan",'Debts &amp; Credit'!$P$5:$P$27)</f>
        <v>0</v>
      </c>
      <c r="G31" s="21" t="s">
        <v>917</v>
      </c>
    </row>
    <row r="33" customFormat="false" ht="15" hidden="false" customHeight="false" outlineLevel="0" collapsed="false">
      <c r="A33" s="151" t="s">
        <v>858</v>
      </c>
      <c r="B33" s="155"/>
      <c r="C33" s="155"/>
      <c r="D33" s="152" t="n">
        <f aca="false">C16+C17+D24+N(D27)+N(D30)-D28-D31-'Debts &amp; Credit'!$D$28</f>
        <v>0</v>
      </c>
      <c r="E33" s="155"/>
      <c r="F33" s="155"/>
      <c r="G33" s="167" t="s">
        <v>918</v>
      </c>
    </row>
  </sheetData>
  <sheetProtection sheet="true" scenarios="true" formatCells="false" formatColumns="false" formatRows="false" sort="false" autoFilter="false"/>
  <mergeCells count="4">
    <mergeCell ref="C2:D2"/>
    <mergeCell ref="E2:F2"/>
    <mergeCell ref="C3:D3"/>
    <mergeCell ref="E3:F3"/>
  </mergeCells>
  <conditionalFormatting sqref="I5:I15">
    <cfRule type="cellIs" priority="2" operator="equal" aboveAverage="0" equalAverage="0" bottom="0" percent="0" rank="0" text="" dxfId="4">
      <formula>"stale"</formula>
    </cfRule>
    <cfRule type="cellIs" priority="3" operator="equal" aboveAverage="0" equalAverage="0" bottom="0" percent="0" rank="0" text="" dxfId="3">
      <formula>"ok"</formula>
    </cfRule>
  </conditionalFormatting>
  <conditionalFormatting sqref="A5:I15">
    <cfRule type="expression" priority="4" aboveAverage="0" equalAverage="0" bottom="0" percent="0" rank="0" text="" dxfId="5">
      <formula>MOD(ROW(),2)=0</formula>
    </cfRule>
  </conditionalFormatting>
  <conditionalFormatting sqref="F5:F15">
    <cfRule type="dataBar" priority="5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{8087CED7-60B3-43D3-8ECD-257BC0B39AE8}</x14:id>
        </ext>
      </extLst>
    </cfRule>
  </conditionalFormatting>
  <conditionalFormatting sqref="L6:L8">
    <cfRule type="dataBar" priority="6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{569AE692-5BA2-44BB-8DB0-66AA572291D1}</x14:id>
        </ext>
      </extLst>
    </cfRule>
  </conditionalFormatting>
  <conditionalFormatting sqref="I21:I23">
    <cfRule type="cellIs" priority="7" operator="equal" aboveAverage="0" equalAverage="0" bottom="0" percent="0" rank="0" text="" dxfId="4">
      <formula>"stale"</formula>
    </cfRule>
    <cfRule type="cellIs" priority="8" operator="equal" aboveAverage="0" equalAverage="0" bottom="0" percent="0" rank="0" text="" dxfId="3">
      <formula>"ok"</formula>
    </cfRule>
  </conditionalFormatting>
  <conditionalFormatting sqref="A21:I23">
    <cfRule type="expression" priority="9" aboveAverage="0" equalAverage="0" bottom="0" percent="0" rank="0" text="" dxfId="5">
      <formula>MOD(ROW(),2)=0</formula>
    </cfRule>
  </conditionalFormatting>
  <dataValidations count="4">
    <dataValidation allowBlank="true" errorStyle="stop" operator="between" showDropDown="false" showErrorMessage="false" showInputMessage="false" sqref="B5:B15" type="list">
      <formula1>Lists!$V$5:$V$266</formula1>
      <formula2>0</formula2>
    </dataValidation>
    <dataValidation allowBlank="true" errorStyle="stop" operator="between" showDropDown="false" showErrorMessage="false" showInputMessage="false" sqref="B21:B23" type="list">
      <formula1>Lists!$L$5:$L$73</formula1>
      <formula2>0</formula2>
    </dataValidation>
    <dataValidation allowBlank="true" errorStyle="stop" operator="between" showDropDown="false" showErrorMessage="false" showInputMessage="false" sqref="C5:C15 C21:C23" type="list">
      <formula1>"Me,Partner,Joint"</formula1>
      <formula2>0</formula2>
    </dataValidation>
    <dataValidation allowBlank="true" errorStyle="stop" operator="between" showDropDown="false" showErrorMessage="false" showInputMessage="false" sqref="E5:E15 E21:E23" type="list">
      <formula1>Setup!$A$23:$A$46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Accounts&amp;R&amp;8 Page &amp;P of &amp;N · printed &amp;D</oddFooter>
  </headerFooter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87CED7-60B3-43D3-8ECD-257BC0B39AE8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F5:F15</xm:sqref>
        </x14:conditionalFormatting>
        <x14:conditionalFormatting xmlns:xm="http://schemas.microsoft.com/office/excel/2006/main">
          <x14:cfRule type="dataBar" id="{569AE692-5BA2-44BB-8DB0-66AA572291D1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L6:L8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1" outlineLevelCol="0"/>
  <cols>
    <col collapsed="false" customWidth="true" hidden="false" outlineLevel="0" max="1" min="1" style="0" width="40"/>
    <col collapsed="false" customWidth="true" hidden="false" outlineLevel="0" max="2" min="2" style="0" width="2"/>
    <col collapsed="false" customWidth="true" hidden="false" outlineLevel="0" max="22" min="3" style="0" width="11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25.5" hidden="false" customHeight="true" outlineLevel="0" collapsed="false">
      <c r="A2" s="98" t="s">
        <v>919</v>
      </c>
      <c r="C2" s="168" t="n">
        <f aca="false">IFERROR(INDEX($C$53:$V$53,MATCH(DATE(YEAR(Inputs!$B$6),MONTH(Inputs!$B$6),1),$C$3:$V$3,0)),INDEX($C$53:$V$53,20))</f>
        <v>0</v>
      </c>
      <c r="D2" s="168"/>
      <c r="E2" s="168"/>
      <c r="F2" s="168"/>
      <c r="G2" s="169" t="n">
        <f aca="false">MIN($C$53:$V$53)</f>
        <v>0</v>
      </c>
      <c r="H2" s="169"/>
      <c r="I2" s="169"/>
      <c r="J2" s="169"/>
      <c r="K2" s="170" t="n">
        <f aca="false">MIN($C$74:$V$74)</f>
        <v>0</v>
      </c>
      <c r="L2" s="170"/>
      <c r="M2" s="170"/>
      <c r="N2" s="170"/>
      <c r="O2" s="171" t="n">
        <f aca="false">INDEX($C$53:$V$53,20)</f>
        <v>0</v>
      </c>
      <c r="P2" s="171"/>
      <c r="Q2" s="171"/>
      <c r="R2" s="171"/>
      <c r="S2" s="172" t="n">
        <f aca="false">INDEX($C$74:$V$74,20)</f>
        <v>0</v>
      </c>
      <c r="T2" s="172"/>
      <c r="U2" s="172"/>
      <c r="V2" s="172"/>
    </row>
    <row r="3" customFormat="false" ht="15" hidden="false" customHeight="false" outlineLevel="0" collapsed="false">
      <c r="A3" s="151" t="s">
        <v>731</v>
      </c>
      <c r="C3" s="164" t="n">
        <f aca="false">Inputs!$B$5</f>
        <v>46296</v>
      </c>
      <c r="D3" s="164" t="n">
        <f aca="false">EDATE(C3,1)</f>
        <v>46327</v>
      </c>
      <c r="E3" s="164" t="n">
        <f aca="false">EDATE(D3,1)</f>
        <v>46357</v>
      </c>
      <c r="F3" s="164" t="n">
        <f aca="false">EDATE(E3,1)</f>
        <v>46388</v>
      </c>
      <c r="G3" s="164" t="n">
        <f aca="false">EDATE(F3,1)</f>
        <v>46419</v>
      </c>
      <c r="H3" s="164" t="n">
        <f aca="false">EDATE(G3,1)</f>
        <v>46447</v>
      </c>
      <c r="I3" s="164" t="n">
        <f aca="false">EDATE(H3,1)</f>
        <v>46478</v>
      </c>
      <c r="J3" s="164" t="n">
        <f aca="false">EDATE(I3,1)</f>
        <v>46508</v>
      </c>
      <c r="K3" s="164" t="n">
        <f aca="false">EDATE(J3,1)</f>
        <v>46539</v>
      </c>
      <c r="L3" s="164" t="n">
        <f aca="false">EDATE(K3,1)</f>
        <v>46569</v>
      </c>
      <c r="M3" s="164" t="n">
        <f aca="false">EDATE(L3,1)</f>
        <v>46600</v>
      </c>
      <c r="N3" s="164" t="n">
        <f aca="false">EDATE(M3,1)</f>
        <v>46631</v>
      </c>
      <c r="O3" s="164" t="n">
        <f aca="false">EDATE(N3,1)</f>
        <v>46661</v>
      </c>
      <c r="P3" s="164" t="n">
        <f aca="false">EDATE(O3,1)</f>
        <v>46692</v>
      </c>
      <c r="Q3" s="164" t="n">
        <f aca="false">EDATE(P3,1)</f>
        <v>46722</v>
      </c>
      <c r="R3" s="164" t="n">
        <f aca="false">EDATE(Q3,1)</f>
        <v>46753</v>
      </c>
      <c r="S3" s="164" t="n">
        <f aca="false">EDATE(R3,1)</f>
        <v>46784</v>
      </c>
      <c r="T3" s="164" t="n">
        <f aca="false">EDATE(S3,1)</f>
        <v>46813</v>
      </c>
      <c r="U3" s="164" t="n">
        <f aca="false">EDATE(T3,1)</f>
        <v>46844</v>
      </c>
      <c r="V3" s="164" t="n">
        <f aca="false">EDATE(U3,1)</f>
        <v>46874</v>
      </c>
    </row>
    <row r="4" customFormat="false" ht="15" hidden="false" customHeight="false" outlineLevel="0" collapsed="false">
      <c r="A4" s="151" t="s">
        <v>920</v>
      </c>
      <c r="C4" s="173" t="n">
        <f aca="false">(YEAR(C3)-YEAR(Inputs!$B$6))*12+MONTH(C3)-MONTH(Inputs!$B$6)</f>
        <v>-240</v>
      </c>
      <c r="D4" s="173" t="n">
        <f aca="false">(YEAR(D3)-YEAR(Inputs!$B$6))*12+MONTH(D3)-MONTH(Inputs!$B$6)</f>
        <v>-239</v>
      </c>
      <c r="E4" s="173" t="n">
        <f aca="false">(YEAR(E3)-YEAR(Inputs!$B$6))*12+MONTH(E3)-MONTH(Inputs!$B$6)</f>
        <v>-238</v>
      </c>
      <c r="F4" s="173" t="n">
        <f aca="false">(YEAR(F3)-YEAR(Inputs!$B$6))*12+MONTH(F3)-MONTH(Inputs!$B$6)</f>
        <v>-237</v>
      </c>
      <c r="G4" s="173" t="n">
        <f aca="false">(YEAR(G3)-YEAR(Inputs!$B$6))*12+MONTH(G3)-MONTH(Inputs!$B$6)</f>
        <v>-236</v>
      </c>
      <c r="H4" s="173" t="n">
        <f aca="false">(YEAR(H3)-YEAR(Inputs!$B$6))*12+MONTH(H3)-MONTH(Inputs!$B$6)</f>
        <v>-235</v>
      </c>
      <c r="I4" s="173" t="n">
        <f aca="false">(YEAR(I3)-YEAR(Inputs!$B$6))*12+MONTH(I3)-MONTH(Inputs!$B$6)</f>
        <v>-234</v>
      </c>
      <c r="J4" s="173" t="n">
        <f aca="false">(YEAR(J3)-YEAR(Inputs!$B$6))*12+MONTH(J3)-MONTH(Inputs!$B$6)</f>
        <v>-233</v>
      </c>
      <c r="K4" s="173" t="n">
        <f aca="false">(YEAR(K3)-YEAR(Inputs!$B$6))*12+MONTH(K3)-MONTH(Inputs!$B$6)</f>
        <v>-232</v>
      </c>
      <c r="L4" s="173" t="n">
        <f aca="false">(YEAR(L3)-YEAR(Inputs!$B$6))*12+MONTH(L3)-MONTH(Inputs!$B$6)</f>
        <v>-231</v>
      </c>
      <c r="M4" s="173" t="n">
        <f aca="false">(YEAR(M3)-YEAR(Inputs!$B$6))*12+MONTH(M3)-MONTH(Inputs!$B$6)</f>
        <v>-230</v>
      </c>
      <c r="N4" s="173" t="n">
        <f aca="false">(YEAR(N3)-YEAR(Inputs!$B$6))*12+MONTH(N3)-MONTH(Inputs!$B$6)</f>
        <v>-229</v>
      </c>
      <c r="O4" s="173" t="n">
        <f aca="false">(YEAR(O3)-YEAR(Inputs!$B$6))*12+MONTH(O3)-MONTH(Inputs!$B$6)</f>
        <v>-228</v>
      </c>
      <c r="P4" s="173" t="n">
        <f aca="false">(YEAR(P3)-YEAR(Inputs!$B$6))*12+MONTH(P3)-MONTH(Inputs!$B$6)</f>
        <v>-227</v>
      </c>
      <c r="Q4" s="173" t="n">
        <f aca="false">(YEAR(Q3)-YEAR(Inputs!$B$6))*12+MONTH(Q3)-MONTH(Inputs!$B$6)</f>
        <v>-226</v>
      </c>
      <c r="R4" s="173" t="n">
        <f aca="false">(YEAR(R3)-YEAR(Inputs!$B$6))*12+MONTH(R3)-MONTH(Inputs!$B$6)</f>
        <v>-225</v>
      </c>
      <c r="S4" s="173" t="n">
        <f aca="false">(YEAR(S3)-YEAR(Inputs!$B$6))*12+MONTH(S3)-MONTH(Inputs!$B$6)</f>
        <v>-224</v>
      </c>
      <c r="T4" s="173" t="n">
        <f aca="false">(YEAR(T3)-YEAR(Inputs!$B$6))*12+MONTH(T3)-MONTH(Inputs!$B$6)</f>
        <v>-223</v>
      </c>
      <c r="U4" s="173" t="n">
        <f aca="false">(YEAR(U3)-YEAR(Inputs!$B$6))*12+MONTH(U3)-MONTH(Inputs!$B$6)</f>
        <v>-222</v>
      </c>
      <c r="V4" s="173" t="n">
        <f aca="false">(YEAR(V3)-YEAR(Inputs!$B$6))*12+MONTH(V3)-MONTH(Inputs!$B$6)</f>
        <v>-221</v>
      </c>
    </row>
    <row r="5" customFormat="false" ht="15" hidden="false" customHeight="false" outlineLevel="0" collapsed="false">
      <c r="A5" s="174" t="s">
        <v>921</v>
      </c>
      <c r="C5" s="175" t="n">
        <f aca="true">IF(C3&gt;Inputs!$B$6,0,IF(OR(Setup!$B$9="Monthly",Setup!$B$9="Semi-monthly"),IF(Setup!$B$9="Monthly",1,2)*MAX(0,MIN(1,(MIN(EOMONTH(C3,0),Inputs!$B$6)-C3+1)/DAY(EOMONTH(C3,0)))),IF(Setup!$B$12="",ROUND(Inputs!$B$15/12*MAX(0,MIN(1,(MIN(EOMONTH(C3,0),Inputs!$B$6)-C3+1)/DAY(EOMONTH(C3,0)))),2),MAX(0,INT((MIN(EOMONTH(C3,0),Inputs!$B$6)-Setup!$B$12)/IF(Setup!$B$9="Weekly",7,14))-INT((MAX(C3-1,TODAY()-1)-Setup!$B$12)/IF(Setup!$B$9="Weekly",7,14))))))</f>
        <v>2.17</v>
      </c>
      <c r="D5" s="175" t="n">
        <f aca="true">IF(D3&gt;Inputs!$B$6,0,IF(OR(Setup!$B$9="Monthly",Setup!$B$9="Semi-monthly"),IF(Setup!$B$9="Monthly",1,2)*MAX(0,MIN(1,(MIN(EOMONTH(D3,0),Inputs!$B$6)-D3+1)/DAY(EOMONTH(D3,0)))),IF(Setup!$B$12="",ROUND(Inputs!$B$15/12*MAX(0,MIN(1,(MIN(EOMONTH(D3,0),Inputs!$B$6)-D3+1)/DAY(EOMONTH(D3,0)))),2),MAX(0,INT((MIN(EOMONTH(D3,0),Inputs!$B$6)-Setup!$B$12)/IF(Setup!$B$9="Weekly",7,14))-INT((MAX(D3-1,TODAY()-1)-Setup!$B$12)/IF(Setup!$B$9="Weekly",7,14))))))</f>
        <v>2.17</v>
      </c>
      <c r="E5" s="175" t="n">
        <f aca="true">IF(E3&gt;Inputs!$B$6,0,IF(OR(Setup!$B$9="Monthly",Setup!$B$9="Semi-monthly"),IF(Setup!$B$9="Monthly",1,2)*MAX(0,MIN(1,(MIN(EOMONTH(E3,0),Inputs!$B$6)-E3+1)/DAY(EOMONTH(E3,0)))),IF(Setup!$B$12="",ROUND(Inputs!$B$15/12*MAX(0,MIN(1,(MIN(EOMONTH(E3,0),Inputs!$B$6)-E3+1)/DAY(EOMONTH(E3,0)))),2),MAX(0,INT((MIN(EOMONTH(E3,0),Inputs!$B$6)-Setup!$B$12)/IF(Setup!$B$9="Weekly",7,14))-INT((MAX(E3-1,TODAY()-1)-Setup!$B$12)/IF(Setup!$B$9="Weekly",7,14))))))</f>
        <v>2.17</v>
      </c>
      <c r="F5" s="175" t="n">
        <f aca="true">IF(F3&gt;Inputs!$B$6,0,IF(OR(Setup!$B$9="Monthly",Setup!$B$9="Semi-monthly"),IF(Setup!$B$9="Monthly",1,2)*MAX(0,MIN(1,(MIN(EOMONTH(F3,0),Inputs!$B$6)-F3+1)/DAY(EOMONTH(F3,0)))),IF(Setup!$B$12="",ROUND(Inputs!$B$15/12*MAX(0,MIN(1,(MIN(EOMONTH(F3,0),Inputs!$B$6)-F3+1)/DAY(EOMONTH(F3,0)))),2),MAX(0,INT((MIN(EOMONTH(F3,0),Inputs!$B$6)-Setup!$B$12)/IF(Setup!$B$9="Weekly",7,14))-INT((MAX(F3-1,TODAY()-1)-Setup!$B$12)/IF(Setup!$B$9="Weekly",7,14))))))</f>
        <v>2.17</v>
      </c>
      <c r="G5" s="175" t="n">
        <f aca="true">IF(G3&gt;Inputs!$B$6,0,IF(OR(Setup!$B$9="Monthly",Setup!$B$9="Semi-monthly"),IF(Setup!$B$9="Monthly",1,2)*MAX(0,MIN(1,(MIN(EOMONTH(G3,0),Inputs!$B$6)-G3+1)/DAY(EOMONTH(G3,0)))),IF(Setup!$B$12="",ROUND(Inputs!$B$15/12*MAX(0,MIN(1,(MIN(EOMONTH(G3,0),Inputs!$B$6)-G3+1)/DAY(EOMONTH(G3,0)))),2),MAX(0,INT((MIN(EOMONTH(G3,0),Inputs!$B$6)-Setup!$B$12)/IF(Setup!$B$9="Weekly",7,14))-INT((MAX(G3-1,TODAY()-1)-Setup!$B$12)/IF(Setup!$B$9="Weekly",7,14))))))</f>
        <v>2.17</v>
      </c>
      <c r="H5" s="175" t="n">
        <f aca="true">IF(H3&gt;Inputs!$B$6,0,IF(OR(Setup!$B$9="Monthly",Setup!$B$9="Semi-monthly"),IF(Setup!$B$9="Monthly",1,2)*MAX(0,MIN(1,(MIN(EOMONTH(H3,0),Inputs!$B$6)-H3+1)/DAY(EOMONTH(H3,0)))),IF(Setup!$B$12="",ROUND(Inputs!$B$15/12*MAX(0,MIN(1,(MIN(EOMONTH(H3,0),Inputs!$B$6)-H3+1)/DAY(EOMONTH(H3,0)))),2),MAX(0,INT((MIN(EOMONTH(H3,0),Inputs!$B$6)-Setup!$B$12)/IF(Setup!$B$9="Weekly",7,14))-INT((MAX(H3-1,TODAY()-1)-Setup!$B$12)/IF(Setup!$B$9="Weekly",7,14))))))</f>
        <v>2.17</v>
      </c>
      <c r="I5" s="175" t="n">
        <f aca="true">IF(I3&gt;Inputs!$B$6,0,IF(OR(Setup!$B$9="Monthly",Setup!$B$9="Semi-monthly"),IF(Setup!$B$9="Monthly",1,2)*MAX(0,MIN(1,(MIN(EOMONTH(I3,0),Inputs!$B$6)-I3+1)/DAY(EOMONTH(I3,0)))),IF(Setup!$B$12="",ROUND(Inputs!$B$15/12*MAX(0,MIN(1,(MIN(EOMONTH(I3,0),Inputs!$B$6)-I3+1)/DAY(EOMONTH(I3,0)))),2),MAX(0,INT((MIN(EOMONTH(I3,0),Inputs!$B$6)-Setup!$B$12)/IF(Setup!$B$9="Weekly",7,14))-INT((MAX(I3-1,TODAY()-1)-Setup!$B$12)/IF(Setup!$B$9="Weekly",7,14))))))</f>
        <v>2.17</v>
      </c>
      <c r="J5" s="175" t="n">
        <f aca="true">IF(J3&gt;Inputs!$B$6,0,IF(OR(Setup!$B$9="Monthly",Setup!$B$9="Semi-monthly"),IF(Setup!$B$9="Monthly",1,2)*MAX(0,MIN(1,(MIN(EOMONTH(J3,0),Inputs!$B$6)-J3+1)/DAY(EOMONTH(J3,0)))),IF(Setup!$B$12="",ROUND(Inputs!$B$15/12*MAX(0,MIN(1,(MIN(EOMONTH(J3,0),Inputs!$B$6)-J3+1)/DAY(EOMONTH(J3,0)))),2),MAX(0,INT((MIN(EOMONTH(J3,0),Inputs!$B$6)-Setup!$B$12)/IF(Setup!$B$9="Weekly",7,14))-INT((MAX(J3-1,TODAY()-1)-Setup!$B$12)/IF(Setup!$B$9="Weekly",7,14))))))</f>
        <v>2.17</v>
      </c>
      <c r="K5" s="175" t="n">
        <f aca="true">IF(K3&gt;Inputs!$B$6,0,IF(OR(Setup!$B$9="Monthly",Setup!$B$9="Semi-monthly"),IF(Setup!$B$9="Monthly",1,2)*MAX(0,MIN(1,(MIN(EOMONTH(K3,0),Inputs!$B$6)-K3+1)/DAY(EOMONTH(K3,0)))),IF(Setup!$B$12="",ROUND(Inputs!$B$15/12*MAX(0,MIN(1,(MIN(EOMONTH(K3,0),Inputs!$B$6)-K3+1)/DAY(EOMONTH(K3,0)))),2),MAX(0,INT((MIN(EOMONTH(K3,0),Inputs!$B$6)-Setup!$B$12)/IF(Setup!$B$9="Weekly",7,14))-INT((MAX(K3-1,TODAY()-1)-Setup!$B$12)/IF(Setup!$B$9="Weekly",7,14))))))</f>
        <v>2.17</v>
      </c>
      <c r="L5" s="175" t="n">
        <f aca="true">IF(L3&gt;Inputs!$B$6,0,IF(OR(Setup!$B$9="Monthly",Setup!$B$9="Semi-monthly"),IF(Setup!$B$9="Monthly",1,2)*MAX(0,MIN(1,(MIN(EOMONTH(L3,0),Inputs!$B$6)-L3+1)/DAY(EOMONTH(L3,0)))),IF(Setup!$B$12="",ROUND(Inputs!$B$15/12*MAX(0,MIN(1,(MIN(EOMONTH(L3,0),Inputs!$B$6)-L3+1)/DAY(EOMONTH(L3,0)))),2),MAX(0,INT((MIN(EOMONTH(L3,0),Inputs!$B$6)-Setup!$B$12)/IF(Setup!$B$9="Weekly",7,14))-INT((MAX(L3-1,TODAY()-1)-Setup!$B$12)/IF(Setup!$B$9="Weekly",7,14))))))</f>
        <v>2.17</v>
      </c>
      <c r="M5" s="175" t="n">
        <f aca="true">IF(M3&gt;Inputs!$B$6,0,IF(OR(Setup!$B$9="Monthly",Setup!$B$9="Semi-monthly"),IF(Setup!$B$9="Monthly",1,2)*MAX(0,MIN(1,(MIN(EOMONTH(M3,0),Inputs!$B$6)-M3+1)/DAY(EOMONTH(M3,0)))),IF(Setup!$B$12="",ROUND(Inputs!$B$15/12*MAX(0,MIN(1,(MIN(EOMONTH(M3,0),Inputs!$B$6)-M3+1)/DAY(EOMONTH(M3,0)))),2),MAX(0,INT((MIN(EOMONTH(M3,0),Inputs!$B$6)-Setup!$B$12)/IF(Setup!$B$9="Weekly",7,14))-INT((MAX(M3-1,TODAY()-1)-Setup!$B$12)/IF(Setup!$B$9="Weekly",7,14))))))</f>
        <v>2.17</v>
      </c>
      <c r="N5" s="175" t="n">
        <f aca="true">IF(N3&gt;Inputs!$B$6,0,IF(OR(Setup!$B$9="Monthly",Setup!$B$9="Semi-monthly"),IF(Setup!$B$9="Monthly",1,2)*MAX(0,MIN(1,(MIN(EOMONTH(N3,0),Inputs!$B$6)-N3+1)/DAY(EOMONTH(N3,0)))),IF(Setup!$B$12="",ROUND(Inputs!$B$15/12*MAX(0,MIN(1,(MIN(EOMONTH(N3,0),Inputs!$B$6)-N3+1)/DAY(EOMONTH(N3,0)))),2),MAX(0,INT((MIN(EOMONTH(N3,0),Inputs!$B$6)-Setup!$B$12)/IF(Setup!$B$9="Weekly",7,14))-INT((MAX(N3-1,TODAY()-1)-Setup!$B$12)/IF(Setup!$B$9="Weekly",7,14))))))</f>
        <v>2.17</v>
      </c>
      <c r="O5" s="175" t="n">
        <f aca="true">IF(O3&gt;Inputs!$B$6,0,IF(OR(Setup!$B$9="Monthly",Setup!$B$9="Semi-monthly"),IF(Setup!$B$9="Monthly",1,2)*MAX(0,MIN(1,(MIN(EOMONTH(O3,0),Inputs!$B$6)-O3+1)/DAY(EOMONTH(O3,0)))),IF(Setup!$B$12="",ROUND(Inputs!$B$15/12*MAX(0,MIN(1,(MIN(EOMONTH(O3,0),Inputs!$B$6)-O3+1)/DAY(EOMONTH(O3,0)))),2),MAX(0,INT((MIN(EOMONTH(O3,0),Inputs!$B$6)-Setup!$B$12)/IF(Setup!$B$9="Weekly",7,14))-INT((MAX(O3-1,TODAY()-1)-Setup!$B$12)/IF(Setup!$B$9="Weekly",7,14))))))</f>
        <v>2.17</v>
      </c>
      <c r="P5" s="175" t="n">
        <f aca="true">IF(P3&gt;Inputs!$B$6,0,IF(OR(Setup!$B$9="Monthly",Setup!$B$9="Semi-monthly"),IF(Setup!$B$9="Monthly",1,2)*MAX(0,MIN(1,(MIN(EOMONTH(P3,0),Inputs!$B$6)-P3+1)/DAY(EOMONTH(P3,0)))),IF(Setup!$B$12="",ROUND(Inputs!$B$15/12*MAX(0,MIN(1,(MIN(EOMONTH(P3,0),Inputs!$B$6)-P3+1)/DAY(EOMONTH(P3,0)))),2),MAX(0,INT((MIN(EOMONTH(P3,0),Inputs!$B$6)-Setup!$B$12)/IF(Setup!$B$9="Weekly",7,14))-INT((MAX(P3-1,TODAY()-1)-Setup!$B$12)/IF(Setup!$B$9="Weekly",7,14))))))</f>
        <v>2.17</v>
      </c>
      <c r="Q5" s="175" t="n">
        <f aca="true">IF(Q3&gt;Inputs!$B$6,0,IF(OR(Setup!$B$9="Monthly",Setup!$B$9="Semi-monthly"),IF(Setup!$B$9="Monthly",1,2)*MAX(0,MIN(1,(MIN(EOMONTH(Q3,0),Inputs!$B$6)-Q3+1)/DAY(EOMONTH(Q3,0)))),IF(Setup!$B$12="",ROUND(Inputs!$B$15/12*MAX(0,MIN(1,(MIN(EOMONTH(Q3,0),Inputs!$B$6)-Q3+1)/DAY(EOMONTH(Q3,0)))),2),MAX(0,INT((MIN(EOMONTH(Q3,0),Inputs!$B$6)-Setup!$B$12)/IF(Setup!$B$9="Weekly",7,14))-INT((MAX(Q3-1,TODAY()-1)-Setup!$B$12)/IF(Setup!$B$9="Weekly",7,14))))))</f>
        <v>2.17</v>
      </c>
      <c r="R5" s="175" t="n">
        <f aca="true">IF(R3&gt;Inputs!$B$6,0,IF(OR(Setup!$B$9="Monthly",Setup!$B$9="Semi-monthly"),IF(Setup!$B$9="Monthly",1,2)*MAX(0,MIN(1,(MIN(EOMONTH(R3,0),Inputs!$B$6)-R3+1)/DAY(EOMONTH(R3,0)))),IF(Setup!$B$12="",ROUND(Inputs!$B$15/12*MAX(0,MIN(1,(MIN(EOMONTH(R3,0),Inputs!$B$6)-R3+1)/DAY(EOMONTH(R3,0)))),2),MAX(0,INT((MIN(EOMONTH(R3,0),Inputs!$B$6)-Setup!$B$12)/IF(Setup!$B$9="Weekly",7,14))-INT((MAX(R3-1,TODAY()-1)-Setup!$B$12)/IF(Setup!$B$9="Weekly",7,14))))))</f>
        <v>2.17</v>
      </c>
      <c r="S5" s="175" t="n">
        <f aca="true">IF(S3&gt;Inputs!$B$6,0,IF(OR(Setup!$B$9="Monthly",Setup!$B$9="Semi-monthly"),IF(Setup!$B$9="Monthly",1,2)*MAX(0,MIN(1,(MIN(EOMONTH(S3,0),Inputs!$B$6)-S3+1)/DAY(EOMONTH(S3,0)))),IF(Setup!$B$12="",ROUND(Inputs!$B$15/12*MAX(0,MIN(1,(MIN(EOMONTH(S3,0),Inputs!$B$6)-S3+1)/DAY(EOMONTH(S3,0)))),2),MAX(0,INT((MIN(EOMONTH(S3,0),Inputs!$B$6)-Setup!$B$12)/IF(Setup!$B$9="Weekly",7,14))-INT((MAX(S3-1,TODAY()-1)-Setup!$B$12)/IF(Setup!$B$9="Weekly",7,14))))))</f>
        <v>2.17</v>
      </c>
      <c r="T5" s="175" t="n">
        <f aca="true">IF(T3&gt;Inputs!$B$6,0,IF(OR(Setup!$B$9="Monthly",Setup!$B$9="Semi-monthly"),IF(Setup!$B$9="Monthly",1,2)*MAX(0,MIN(1,(MIN(EOMONTH(T3,0),Inputs!$B$6)-T3+1)/DAY(EOMONTH(T3,0)))),IF(Setup!$B$12="",ROUND(Inputs!$B$15/12*MAX(0,MIN(1,(MIN(EOMONTH(T3,0),Inputs!$B$6)-T3+1)/DAY(EOMONTH(T3,0)))),2),MAX(0,INT((MIN(EOMONTH(T3,0),Inputs!$B$6)-Setup!$B$12)/IF(Setup!$B$9="Weekly",7,14))-INT((MAX(T3-1,TODAY()-1)-Setup!$B$12)/IF(Setup!$B$9="Weekly",7,14))))))</f>
        <v>2.17</v>
      </c>
      <c r="U5" s="175" t="n">
        <f aca="true">IF(U3&gt;Inputs!$B$6,0,IF(OR(Setup!$B$9="Monthly",Setup!$B$9="Semi-monthly"),IF(Setup!$B$9="Monthly",1,2)*MAX(0,MIN(1,(MIN(EOMONTH(U3,0),Inputs!$B$6)-U3+1)/DAY(EOMONTH(U3,0)))),IF(Setup!$B$12="",ROUND(Inputs!$B$15/12*MAX(0,MIN(1,(MIN(EOMONTH(U3,0),Inputs!$B$6)-U3+1)/DAY(EOMONTH(U3,0)))),2),MAX(0,INT((MIN(EOMONTH(U3,0),Inputs!$B$6)-Setup!$B$12)/IF(Setup!$B$9="Weekly",7,14))-INT((MAX(U3-1,TODAY()-1)-Setup!$B$12)/IF(Setup!$B$9="Weekly",7,14))))))</f>
        <v>2.17</v>
      </c>
      <c r="V5" s="175" t="n">
        <f aca="true">IF(V3&gt;Inputs!$B$6,0,IF(OR(Setup!$B$9="Monthly",Setup!$B$9="Semi-monthly"),IF(Setup!$B$9="Monthly",1,2)*MAX(0,MIN(1,(MIN(EOMONTH(V3,0),Inputs!$B$6)-V3+1)/DAY(EOMONTH(V3,0)))),IF(Setup!$B$12="",ROUND(Inputs!$B$15/12*MAX(0,MIN(1,(MIN(EOMONTH(V3,0),Inputs!$B$6)-V3+1)/DAY(EOMONTH(V3,0)))),2),MAX(0,INT((MIN(EOMONTH(V3,0),Inputs!$B$6)-Setup!$B$12)/IF(Setup!$B$9="Weekly",7,14))-INT((MAX(V3-1,TODAY()-1)-Setup!$B$12)/IF(Setup!$B$9="Weekly",7,14))))))</f>
        <v>2.17</v>
      </c>
    </row>
    <row r="6" customFormat="false" ht="15" hidden="false" customHeight="false" outlineLevel="0" collapsed="false">
      <c r="A6" s="174" t="s">
        <v>922</v>
      </c>
      <c r="C6" s="176" t="n">
        <v>0</v>
      </c>
      <c r="D6" s="176" t="n">
        <v>0</v>
      </c>
      <c r="E6" s="176" t="n">
        <v>0</v>
      </c>
      <c r="F6" s="176" t="n">
        <v>0</v>
      </c>
      <c r="G6" s="176" t="n">
        <v>0</v>
      </c>
      <c r="H6" s="176" t="n">
        <v>0</v>
      </c>
      <c r="I6" s="176" t="n">
        <v>0</v>
      </c>
      <c r="J6" s="176" t="n">
        <v>0</v>
      </c>
      <c r="K6" s="176" t="n">
        <v>0</v>
      </c>
      <c r="L6" s="176" t="n">
        <v>0</v>
      </c>
      <c r="M6" s="176" t="n">
        <v>0</v>
      </c>
      <c r="N6" s="176" t="n">
        <v>0</v>
      </c>
      <c r="O6" s="176" t="n">
        <v>0</v>
      </c>
      <c r="P6" s="176" t="n">
        <v>0</v>
      </c>
      <c r="Q6" s="176" t="n">
        <v>0</v>
      </c>
      <c r="R6" s="176" t="n">
        <v>0</v>
      </c>
      <c r="S6" s="176" t="n">
        <v>0</v>
      </c>
      <c r="T6" s="176" t="n">
        <v>0</v>
      </c>
      <c r="U6" s="176" t="n">
        <v>0</v>
      </c>
      <c r="V6" s="176" t="n">
        <v>0</v>
      </c>
    </row>
    <row r="7" customFormat="false" ht="15" hidden="false" customHeight="false" outlineLevel="0" collapsed="false">
      <c r="A7" s="99" t="s">
        <v>923</v>
      </c>
      <c r="C7" s="177" t="n">
        <f aca="false">IF(Inputs!$B$45="",1,MAX(0,MIN(1,(Inputs!$B$45-C3+1)/DAY(EOMONTH(C3,0)))))</f>
        <v>1</v>
      </c>
      <c r="D7" s="177" t="n">
        <f aca="false">IF(Inputs!$B$45="",1,MAX(0,MIN(1,(Inputs!$B$45-D3+1)/DAY(EOMONTH(D3,0)))))</f>
        <v>1</v>
      </c>
      <c r="E7" s="177" t="n">
        <f aca="false">IF(Inputs!$B$45="",1,MAX(0,MIN(1,(Inputs!$B$45-E3+1)/DAY(EOMONTH(E3,0)))))</f>
        <v>1</v>
      </c>
      <c r="F7" s="177" t="n">
        <f aca="false">IF(Inputs!$B$45="",1,MAX(0,MIN(1,(Inputs!$B$45-F3+1)/DAY(EOMONTH(F3,0)))))</f>
        <v>1</v>
      </c>
      <c r="G7" s="177" t="n">
        <f aca="false">IF(Inputs!$B$45="",1,MAX(0,MIN(1,(Inputs!$B$45-G3+1)/DAY(EOMONTH(G3,0)))))</f>
        <v>1</v>
      </c>
      <c r="H7" s="177" t="n">
        <f aca="false">IF(Inputs!$B$45="",1,MAX(0,MIN(1,(Inputs!$B$45-H3+1)/DAY(EOMONTH(H3,0)))))</f>
        <v>1</v>
      </c>
      <c r="I7" s="177" t="n">
        <f aca="false">IF(Inputs!$B$45="",1,MAX(0,MIN(1,(Inputs!$B$45-I3+1)/DAY(EOMONTH(I3,0)))))</f>
        <v>1</v>
      </c>
      <c r="J7" s="177" t="n">
        <f aca="false">IF(Inputs!$B$45="",1,MAX(0,MIN(1,(Inputs!$B$45-J3+1)/DAY(EOMONTH(J3,0)))))</f>
        <v>1</v>
      </c>
      <c r="K7" s="177" t="n">
        <f aca="false">IF(Inputs!$B$45="",1,MAX(0,MIN(1,(Inputs!$B$45-K3+1)/DAY(EOMONTH(K3,0)))))</f>
        <v>1</v>
      </c>
      <c r="L7" s="177" t="n">
        <f aca="false">IF(Inputs!$B$45="",1,MAX(0,MIN(1,(Inputs!$B$45-L3+1)/DAY(EOMONTH(L3,0)))))</f>
        <v>1</v>
      </c>
      <c r="M7" s="177" t="n">
        <f aca="false">IF(Inputs!$B$45="",1,MAX(0,MIN(1,(Inputs!$B$45-M3+1)/DAY(EOMONTH(M3,0)))))</f>
        <v>1</v>
      </c>
      <c r="N7" s="177" t="n">
        <f aca="false">IF(Inputs!$B$45="",1,MAX(0,MIN(1,(Inputs!$B$45-N3+1)/DAY(EOMONTH(N3,0)))))</f>
        <v>1</v>
      </c>
      <c r="O7" s="177" t="n">
        <f aca="false">IF(Inputs!$B$45="",1,MAX(0,MIN(1,(Inputs!$B$45-O3+1)/DAY(EOMONTH(O3,0)))))</f>
        <v>1</v>
      </c>
      <c r="P7" s="177" t="n">
        <f aca="false">IF(Inputs!$B$45="",1,MAX(0,MIN(1,(Inputs!$B$45-P3+1)/DAY(EOMONTH(P3,0)))))</f>
        <v>1</v>
      </c>
      <c r="Q7" s="177" t="n">
        <f aca="false">IF(Inputs!$B$45="",1,MAX(0,MIN(1,(Inputs!$B$45-Q3+1)/DAY(EOMONTH(Q3,0)))))</f>
        <v>1</v>
      </c>
      <c r="R7" s="177" t="n">
        <f aca="false">IF(Inputs!$B$45="",1,MAX(0,MIN(1,(Inputs!$B$45-R3+1)/DAY(EOMONTH(R3,0)))))</f>
        <v>1</v>
      </c>
      <c r="S7" s="177" t="n">
        <f aca="false">IF(Inputs!$B$45="",1,MAX(0,MIN(1,(Inputs!$B$45-S3+1)/DAY(EOMONTH(S3,0)))))</f>
        <v>1</v>
      </c>
      <c r="T7" s="177" t="n">
        <f aca="false">IF(Inputs!$B$45="",1,MAX(0,MIN(1,(Inputs!$B$45-T3+1)/DAY(EOMONTH(T3,0)))))</f>
        <v>1</v>
      </c>
      <c r="U7" s="177" t="n">
        <f aca="false">IF(Inputs!$B$45="",1,MAX(0,MIN(1,(Inputs!$B$45-U3+1)/DAY(EOMONTH(U3,0)))))</f>
        <v>1</v>
      </c>
      <c r="V7" s="177" t="n">
        <f aca="false">IF(Inputs!$B$45="",1,MAX(0,MIN(1,(Inputs!$B$45-V3+1)/DAY(EOMONTH(V3,0)))))</f>
        <v>1</v>
      </c>
    </row>
    <row r="8" customFormat="false" ht="15" hidden="false" customHeight="false" outlineLevel="0" collapsed="false">
      <c r="A8" s="99" t="s">
        <v>924</v>
      </c>
      <c r="C8" s="177" t="n">
        <f aca="false">IF(Inputs!$B$47="",1,IF(AND(Inputs!$B$48&lt;&gt;"",C3&gt;=Inputs!$B$48),1,MAX(0,MIN(1,(Inputs!$B$47-C3+1)/DAY(EOMONTH(C3,0))))))</f>
        <v>1</v>
      </c>
      <c r="D8" s="177" t="n">
        <f aca="false">IF(Inputs!$B$47="",1,IF(AND(Inputs!$B$48&lt;&gt;"",D3&gt;=Inputs!$B$48),1,MAX(0,MIN(1,(Inputs!$B$47-D3+1)/DAY(EOMONTH(D3,0))))))</f>
        <v>1</v>
      </c>
      <c r="E8" s="177" t="n">
        <f aca="false">IF(Inputs!$B$47="",1,IF(AND(Inputs!$B$48&lt;&gt;"",E3&gt;=Inputs!$B$48),1,MAX(0,MIN(1,(Inputs!$B$47-E3+1)/DAY(EOMONTH(E3,0))))))</f>
        <v>1</v>
      </c>
      <c r="F8" s="177" t="n">
        <f aca="false">IF(Inputs!$B$47="",1,IF(AND(Inputs!$B$48&lt;&gt;"",F3&gt;=Inputs!$B$48),1,MAX(0,MIN(1,(Inputs!$B$47-F3+1)/DAY(EOMONTH(F3,0))))))</f>
        <v>1</v>
      </c>
      <c r="G8" s="177" t="n">
        <f aca="false">IF(Inputs!$B$47="",1,IF(AND(Inputs!$B$48&lt;&gt;"",G3&gt;=Inputs!$B$48),1,MAX(0,MIN(1,(Inputs!$B$47-G3+1)/DAY(EOMONTH(G3,0))))))</f>
        <v>1</v>
      </c>
      <c r="H8" s="177" t="n">
        <f aca="false">IF(Inputs!$B$47="",1,IF(AND(Inputs!$B$48&lt;&gt;"",H3&gt;=Inputs!$B$48),1,MAX(0,MIN(1,(Inputs!$B$47-H3+1)/DAY(EOMONTH(H3,0))))))</f>
        <v>1</v>
      </c>
      <c r="I8" s="177" t="n">
        <f aca="false">IF(Inputs!$B$47="",1,IF(AND(Inputs!$B$48&lt;&gt;"",I3&gt;=Inputs!$B$48),1,MAX(0,MIN(1,(Inputs!$B$47-I3+1)/DAY(EOMONTH(I3,0))))))</f>
        <v>1</v>
      </c>
      <c r="J8" s="177" t="n">
        <f aca="false">IF(Inputs!$B$47="",1,IF(AND(Inputs!$B$48&lt;&gt;"",J3&gt;=Inputs!$B$48),1,MAX(0,MIN(1,(Inputs!$B$47-J3+1)/DAY(EOMONTH(J3,0))))))</f>
        <v>1</v>
      </c>
      <c r="K8" s="177" t="n">
        <f aca="false">IF(Inputs!$B$47="",1,IF(AND(Inputs!$B$48&lt;&gt;"",K3&gt;=Inputs!$B$48),1,MAX(0,MIN(1,(Inputs!$B$47-K3+1)/DAY(EOMONTH(K3,0))))))</f>
        <v>1</v>
      </c>
      <c r="L8" s="177" t="n">
        <f aca="false">IF(Inputs!$B$47="",1,IF(AND(Inputs!$B$48&lt;&gt;"",L3&gt;=Inputs!$B$48),1,MAX(0,MIN(1,(Inputs!$B$47-L3+1)/DAY(EOMONTH(L3,0))))))</f>
        <v>1</v>
      </c>
      <c r="M8" s="177" t="n">
        <f aca="false">IF(Inputs!$B$47="",1,IF(AND(Inputs!$B$48&lt;&gt;"",M3&gt;=Inputs!$B$48),1,MAX(0,MIN(1,(Inputs!$B$47-M3+1)/DAY(EOMONTH(M3,0))))))</f>
        <v>1</v>
      </c>
      <c r="N8" s="177" t="n">
        <f aca="false">IF(Inputs!$B$47="",1,IF(AND(Inputs!$B$48&lt;&gt;"",N3&gt;=Inputs!$B$48),1,MAX(0,MIN(1,(Inputs!$B$47-N3+1)/DAY(EOMONTH(N3,0))))))</f>
        <v>1</v>
      </c>
      <c r="O8" s="177" t="n">
        <f aca="false">IF(Inputs!$B$47="",1,IF(AND(Inputs!$B$48&lt;&gt;"",O3&gt;=Inputs!$B$48),1,MAX(0,MIN(1,(Inputs!$B$47-O3+1)/DAY(EOMONTH(O3,0))))))</f>
        <v>1</v>
      </c>
      <c r="P8" s="177" t="n">
        <f aca="false">IF(Inputs!$B$47="",1,IF(AND(Inputs!$B$48&lt;&gt;"",P3&gt;=Inputs!$B$48),1,MAX(0,MIN(1,(Inputs!$B$47-P3+1)/DAY(EOMONTH(P3,0))))))</f>
        <v>1</v>
      </c>
      <c r="Q8" s="177" t="n">
        <f aca="false">IF(Inputs!$B$47="",1,IF(AND(Inputs!$B$48&lt;&gt;"",Q3&gt;=Inputs!$B$48),1,MAX(0,MIN(1,(Inputs!$B$47-Q3+1)/DAY(EOMONTH(Q3,0))))))</f>
        <v>1</v>
      </c>
      <c r="R8" s="177" t="n">
        <f aca="false">IF(Inputs!$B$47="",1,IF(AND(Inputs!$B$48&lt;&gt;"",R3&gt;=Inputs!$B$48),1,MAX(0,MIN(1,(Inputs!$B$47-R3+1)/DAY(EOMONTH(R3,0))))))</f>
        <v>1</v>
      </c>
      <c r="S8" s="177" t="n">
        <f aca="false">IF(Inputs!$B$47="",1,IF(AND(Inputs!$B$48&lt;&gt;"",S3&gt;=Inputs!$B$48),1,MAX(0,MIN(1,(Inputs!$B$47-S3+1)/DAY(EOMONTH(S3,0))))))</f>
        <v>1</v>
      </c>
      <c r="T8" s="177" t="n">
        <f aca="false">IF(Inputs!$B$47="",1,IF(AND(Inputs!$B$48&lt;&gt;"",T3&gt;=Inputs!$B$48),1,MAX(0,MIN(1,(Inputs!$B$47-T3+1)/DAY(EOMONTH(T3,0))))))</f>
        <v>1</v>
      </c>
      <c r="U8" s="177" t="n">
        <f aca="false">IF(Inputs!$B$47="",1,IF(AND(Inputs!$B$48&lt;&gt;"",U3&gt;=Inputs!$B$48),1,MAX(0,MIN(1,(Inputs!$B$47-U3+1)/DAY(EOMONTH(U3,0))))))</f>
        <v>1</v>
      </c>
      <c r="V8" s="177" t="n">
        <f aca="false">IF(Inputs!$B$47="",1,IF(AND(Inputs!$B$48&lt;&gt;"",V3&gt;=Inputs!$B$48),1,MAX(0,MIN(1,(Inputs!$B$47-V3+1)/DAY(EOMONTH(V3,0))))))</f>
        <v>1</v>
      </c>
    </row>
    <row r="9" customFormat="false" ht="15" hidden="false" customHeight="false" outlineLevel="0" collapsed="false">
      <c r="A9" s="99" t="s">
        <v>925</v>
      </c>
      <c r="C9" s="121" t="n">
        <f aca="false">'Debts &amp; Credit'!C42</f>
        <v>0</v>
      </c>
      <c r="D9" s="121" t="n">
        <f aca="false">'Debts &amp; Credit'!D42</f>
        <v>0</v>
      </c>
      <c r="E9" s="121" t="n">
        <f aca="false">'Debts &amp; Credit'!E42</f>
        <v>0</v>
      </c>
      <c r="F9" s="121" t="n">
        <f aca="false">'Debts &amp; Credit'!F42</f>
        <v>0</v>
      </c>
      <c r="G9" s="121" t="n">
        <f aca="false">'Debts &amp; Credit'!G42</f>
        <v>0</v>
      </c>
      <c r="H9" s="121" t="n">
        <f aca="false">'Debts &amp; Credit'!H42</f>
        <v>0</v>
      </c>
      <c r="I9" s="121" t="n">
        <f aca="false">'Debts &amp; Credit'!I42</f>
        <v>0</v>
      </c>
      <c r="J9" s="121" t="n">
        <f aca="false">'Debts &amp; Credit'!J42</f>
        <v>0</v>
      </c>
      <c r="K9" s="121" t="n">
        <f aca="false">'Debts &amp; Credit'!K42</f>
        <v>0</v>
      </c>
      <c r="L9" s="121" t="n">
        <f aca="false">'Debts &amp; Credit'!L42</f>
        <v>0</v>
      </c>
      <c r="M9" s="121" t="n">
        <f aca="false">'Debts &amp; Credit'!M42</f>
        <v>0</v>
      </c>
      <c r="N9" s="121" t="n">
        <f aca="false">'Debts &amp; Credit'!N42</f>
        <v>0</v>
      </c>
      <c r="O9" s="121" t="n">
        <f aca="false">'Debts &amp; Credit'!O42</f>
        <v>0</v>
      </c>
      <c r="P9" s="121" t="n">
        <f aca="false">'Debts &amp; Credit'!P42</f>
        <v>0</v>
      </c>
      <c r="Q9" s="121" t="n">
        <f aca="false">'Debts &amp; Credit'!Q42</f>
        <v>0</v>
      </c>
      <c r="R9" s="121" t="n">
        <f aca="false">'Debts &amp; Credit'!R42</f>
        <v>0</v>
      </c>
      <c r="S9" s="121" t="n">
        <f aca="false">'Debts &amp; Credit'!S42</f>
        <v>0</v>
      </c>
      <c r="T9" s="121" t="n">
        <f aca="false">'Debts &amp; Credit'!T42</f>
        <v>0</v>
      </c>
      <c r="U9" s="121" t="n">
        <f aca="false">'Debts &amp; Credit'!U42</f>
        <v>0</v>
      </c>
      <c r="V9" s="121" t="n">
        <f aca="false">'Debts &amp; Credit'!V42</f>
        <v>0</v>
      </c>
    </row>
    <row r="10" customFormat="false" ht="15" hidden="false" customHeight="false" outlineLevel="0" collapsed="false">
      <c r="A10" s="99" t="s">
        <v>926</v>
      </c>
      <c r="C10" s="121" t="n">
        <f aca="false">SUMIFS('One-Time'!$F$5:$F$33,'One-Time'!$B$5:$B$33,"Expense",'One-Time'!$D$5:$D$33,"&gt;="&amp;C3,'One-Time'!$D$5:$D$33,"&lt;="&amp;EOMONTH(C3,0))</f>
        <v>0</v>
      </c>
      <c r="D10" s="121" t="n">
        <f aca="false">SUMIFS('One-Time'!$F$5:$F$33,'One-Time'!$B$5:$B$33,"Expense",'One-Time'!$D$5:$D$33,"&gt;="&amp;D3,'One-Time'!$D$5:$D$33,"&lt;="&amp;EOMONTH(D3,0))</f>
        <v>0</v>
      </c>
      <c r="E10" s="121" t="n">
        <f aca="false">SUMIFS('One-Time'!$F$5:$F$33,'One-Time'!$B$5:$B$33,"Expense",'One-Time'!$D$5:$D$33,"&gt;="&amp;E3,'One-Time'!$D$5:$D$33,"&lt;="&amp;EOMONTH(E3,0))</f>
        <v>0</v>
      </c>
      <c r="F10" s="121" t="n">
        <f aca="false">SUMIFS('One-Time'!$F$5:$F$33,'One-Time'!$B$5:$B$33,"Expense",'One-Time'!$D$5:$D$33,"&gt;="&amp;F3,'One-Time'!$D$5:$D$33,"&lt;="&amp;EOMONTH(F3,0))</f>
        <v>0</v>
      </c>
      <c r="G10" s="121" t="n">
        <f aca="false">SUMIFS('One-Time'!$F$5:$F$33,'One-Time'!$B$5:$B$33,"Expense",'One-Time'!$D$5:$D$33,"&gt;="&amp;G3,'One-Time'!$D$5:$D$33,"&lt;="&amp;EOMONTH(G3,0))</f>
        <v>0</v>
      </c>
      <c r="H10" s="121" t="n">
        <f aca="false">SUMIFS('One-Time'!$F$5:$F$33,'One-Time'!$B$5:$B$33,"Expense",'One-Time'!$D$5:$D$33,"&gt;="&amp;H3,'One-Time'!$D$5:$D$33,"&lt;="&amp;EOMONTH(H3,0))</f>
        <v>0</v>
      </c>
      <c r="I10" s="121" t="n">
        <f aca="false">SUMIFS('One-Time'!$F$5:$F$33,'One-Time'!$B$5:$B$33,"Expense",'One-Time'!$D$5:$D$33,"&gt;="&amp;I3,'One-Time'!$D$5:$D$33,"&lt;="&amp;EOMONTH(I3,0))</f>
        <v>0</v>
      </c>
      <c r="J10" s="121" t="n">
        <f aca="false">SUMIFS('One-Time'!$F$5:$F$33,'One-Time'!$B$5:$B$33,"Expense",'One-Time'!$D$5:$D$33,"&gt;="&amp;J3,'One-Time'!$D$5:$D$33,"&lt;="&amp;EOMONTH(J3,0))</f>
        <v>0</v>
      </c>
      <c r="K10" s="121" t="n">
        <f aca="false">SUMIFS('One-Time'!$F$5:$F$33,'One-Time'!$B$5:$B$33,"Expense",'One-Time'!$D$5:$D$33,"&gt;="&amp;K3,'One-Time'!$D$5:$D$33,"&lt;="&amp;EOMONTH(K3,0))</f>
        <v>0</v>
      </c>
      <c r="L10" s="121" t="n">
        <f aca="false">SUMIFS('One-Time'!$F$5:$F$33,'One-Time'!$B$5:$B$33,"Expense",'One-Time'!$D$5:$D$33,"&gt;="&amp;L3,'One-Time'!$D$5:$D$33,"&lt;="&amp;EOMONTH(L3,0))</f>
        <v>0</v>
      </c>
      <c r="M10" s="121" t="n">
        <f aca="false">SUMIFS('One-Time'!$F$5:$F$33,'One-Time'!$B$5:$B$33,"Expense",'One-Time'!$D$5:$D$33,"&gt;="&amp;M3,'One-Time'!$D$5:$D$33,"&lt;="&amp;EOMONTH(M3,0))</f>
        <v>0</v>
      </c>
      <c r="N10" s="121" t="n">
        <f aca="false">SUMIFS('One-Time'!$F$5:$F$33,'One-Time'!$B$5:$B$33,"Expense",'One-Time'!$D$5:$D$33,"&gt;="&amp;N3,'One-Time'!$D$5:$D$33,"&lt;="&amp;EOMONTH(N3,0))</f>
        <v>0</v>
      </c>
      <c r="O10" s="121" t="n">
        <f aca="false">SUMIFS('One-Time'!$F$5:$F$33,'One-Time'!$B$5:$B$33,"Expense",'One-Time'!$D$5:$D$33,"&gt;="&amp;O3,'One-Time'!$D$5:$D$33,"&lt;="&amp;EOMONTH(O3,0))</f>
        <v>0</v>
      </c>
      <c r="P10" s="121" t="n">
        <f aca="false">SUMIFS('One-Time'!$F$5:$F$33,'One-Time'!$B$5:$B$33,"Expense",'One-Time'!$D$5:$D$33,"&gt;="&amp;P3,'One-Time'!$D$5:$D$33,"&lt;="&amp;EOMONTH(P3,0))</f>
        <v>0</v>
      </c>
      <c r="Q10" s="121" t="n">
        <f aca="false">SUMIFS('One-Time'!$F$5:$F$33,'One-Time'!$B$5:$B$33,"Expense",'One-Time'!$D$5:$D$33,"&gt;="&amp;Q3,'One-Time'!$D$5:$D$33,"&lt;="&amp;EOMONTH(Q3,0))</f>
        <v>0</v>
      </c>
      <c r="R10" s="121" t="n">
        <f aca="false">SUMIFS('One-Time'!$F$5:$F$33,'One-Time'!$B$5:$B$33,"Expense",'One-Time'!$D$5:$D$33,"&gt;="&amp;R3,'One-Time'!$D$5:$D$33,"&lt;="&amp;EOMONTH(R3,0))</f>
        <v>0</v>
      </c>
      <c r="S10" s="121" t="n">
        <f aca="false">SUMIFS('One-Time'!$F$5:$F$33,'One-Time'!$B$5:$B$33,"Expense",'One-Time'!$D$5:$D$33,"&gt;="&amp;S3,'One-Time'!$D$5:$D$33,"&lt;="&amp;EOMONTH(S3,0))</f>
        <v>0</v>
      </c>
      <c r="T10" s="121" t="n">
        <f aca="false">SUMIFS('One-Time'!$F$5:$F$33,'One-Time'!$B$5:$B$33,"Expense",'One-Time'!$D$5:$D$33,"&gt;="&amp;T3,'One-Time'!$D$5:$D$33,"&lt;="&amp;EOMONTH(T3,0))</f>
        <v>0</v>
      </c>
      <c r="U10" s="121" t="n">
        <f aca="false">SUMIFS('One-Time'!$F$5:$F$33,'One-Time'!$B$5:$B$33,"Expense",'One-Time'!$D$5:$D$33,"&gt;="&amp;U3,'One-Time'!$D$5:$D$33,"&lt;="&amp;EOMONTH(U3,0))</f>
        <v>0</v>
      </c>
      <c r="V10" s="121" t="n">
        <f aca="false">SUMIFS('One-Time'!$F$5:$F$33,'One-Time'!$B$5:$B$33,"Expense",'One-Time'!$D$5:$D$33,"&gt;="&amp;V3,'One-Time'!$D$5:$D$33,"&lt;="&amp;EOMONTH(V3,0))</f>
        <v>0</v>
      </c>
    </row>
    <row r="11" customFormat="false" ht="15" hidden="false" customHeight="false" outlineLevel="0" collapsed="false">
      <c r="A11" s="99" t="s">
        <v>927</v>
      </c>
      <c r="C11" s="121" t="n">
        <f aca="false">SUMIFS('One-Time'!$F$5:$F$33,'One-Time'!$B$5:$B$33,"Income",'One-Time'!$D$5:$D$33,"&gt;="&amp;C3,'One-Time'!$D$5:$D$33,"&lt;="&amp;EOMONTH(C3,0))</f>
        <v>0</v>
      </c>
      <c r="D11" s="121" t="n">
        <f aca="false">SUMIFS('One-Time'!$F$5:$F$33,'One-Time'!$B$5:$B$33,"Income",'One-Time'!$D$5:$D$33,"&gt;="&amp;D3,'One-Time'!$D$5:$D$33,"&lt;="&amp;EOMONTH(D3,0))</f>
        <v>0</v>
      </c>
      <c r="E11" s="121" t="n">
        <f aca="false">SUMIFS('One-Time'!$F$5:$F$33,'One-Time'!$B$5:$B$33,"Income",'One-Time'!$D$5:$D$33,"&gt;="&amp;E3,'One-Time'!$D$5:$D$33,"&lt;="&amp;EOMONTH(E3,0))</f>
        <v>0</v>
      </c>
      <c r="F11" s="121" t="n">
        <f aca="false">SUMIFS('One-Time'!$F$5:$F$33,'One-Time'!$B$5:$B$33,"Income",'One-Time'!$D$5:$D$33,"&gt;="&amp;F3,'One-Time'!$D$5:$D$33,"&lt;="&amp;EOMONTH(F3,0))</f>
        <v>0</v>
      </c>
      <c r="G11" s="121" t="n">
        <f aca="false">SUMIFS('One-Time'!$F$5:$F$33,'One-Time'!$B$5:$B$33,"Income",'One-Time'!$D$5:$D$33,"&gt;="&amp;G3,'One-Time'!$D$5:$D$33,"&lt;="&amp;EOMONTH(G3,0))</f>
        <v>0</v>
      </c>
      <c r="H11" s="121" t="n">
        <f aca="false">SUMIFS('One-Time'!$F$5:$F$33,'One-Time'!$B$5:$B$33,"Income",'One-Time'!$D$5:$D$33,"&gt;="&amp;H3,'One-Time'!$D$5:$D$33,"&lt;="&amp;EOMONTH(H3,0))</f>
        <v>0</v>
      </c>
      <c r="I11" s="121" t="n">
        <f aca="false">SUMIFS('One-Time'!$F$5:$F$33,'One-Time'!$B$5:$B$33,"Income",'One-Time'!$D$5:$D$33,"&gt;="&amp;I3,'One-Time'!$D$5:$D$33,"&lt;="&amp;EOMONTH(I3,0))</f>
        <v>0</v>
      </c>
      <c r="J11" s="121" t="n">
        <f aca="false">SUMIFS('One-Time'!$F$5:$F$33,'One-Time'!$B$5:$B$33,"Income",'One-Time'!$D$5:$D$33,"&gt;="&amp;J3,'One-Time'!$D$5:$D$33,"&lt;="&amp;EOMONTH(J3,0))</f>
        <v>0</v>
      </c>
      <c r="K11" s="121" t="n">
        <f aca="false">SUMIFS('One-Time'!$F$5:$F$33,'One-Time'!$B$5:$B$33,"Income",'One-Time'!$D$5:$D$33,"&gt;="&amp;K3,'One-Time'!$D$5:$D$33,"&lt;="&amp;EOMONTH(K3,0))</f>
        <v>0</v>
      </c>
      <c r="L11" s="121" t="n">
        <f aca="false">SUMIFS('One-Time'!$F$5:$F$33,'One-Time'!$B$5:$B$33,"Income",'One-Time'!$D$5:$D$33,"&gt;="&amp;L3,'One-Time'!$D$5:$D$33,"&lt;="&amp;EOMONTH(L3,0))</f>
        <v>0</v>
      </c>
      <c r="M11" s="121" t="n">
        <f aca="false">SUMIFS('One-Time'!$F$5:$F$33,'One-Time'!$B$5:$B$33,"Income",'One-Time'!$D$5:$D$33,"&gt;="&amp;M3,'One-Time'!$D$5:$D$33,"&lt;="&amp;EOMONTH(M3,0))</f>
        <v>0</v>
      </c>
      <c r="N11" s="121" t="n">
        <f aca="false">SUMIFS('One-Time'!$F$5:$F$33,'One-Time'!$B$5:$B$33,"Income",'One-Time'!$D$5:$D$33,"&gt;="&amp;N3,'One-Time'!$D$5:$D$33,"&lt;="&amp;EOMONTH(N3,0))</f>
        <v>0</v>
      </c>
      <c r="O11" s="121" t="n">
        <f aca="false">SUMIFS('One-Time'!$F$5:$F$33,'One-Time'!$B$5:$B$33,"Income",'One-Time'!$D$5:$D$33,"&gt;="&amp;O3,'One-Time'!$D$5:$D$33,"&lt;="&amp;EOMONTH(O3,0))</f>
        <v>0</v>
      </c>
      <c r="P11" s="121" t="n">
        <f aca="false">SUMIFS('One-Time'!$F$5:$F$33,'One-Time'!$B$5:$B$33,"Income",'One-Time'!$D$5:$D$33,"&gt;="&amp;P3,'One-Time'!$D$5:$D$33,"&lt;="&amp;EOMONTH(P3,0))</f>
        <v>0</v>
      </c>
      <c r="Q11" s="121" t="n">
        <f aca="false">SUMIFS('One-Time'!$F$5:$F$33,'One-Time'!$B$5:$B$33,"Income",'One-Time'!$D$5:$D$33,"&gt;="&amp;Q3,'One-Time'!$D$5:$D$33,"&lt;="&amp;EOMONTH(Q3,0))</f>
        <v>0</v>
      </c>
      <c r="R11" s="121" t="n">
        <f aca="false">SUMIFS('One-Time'!$F$5:$F$33,'One-Time'!$B$5:$B$33,"Income",'One-Time'!$D$5:$D$33,"&gt;="&amp;R3,'One-Time'!$D$5:$D$33,"&lt;="&amp;EOMONTH(R3,0))</f>
        <v>0</v>
      </c>
      <c r="S11" s="121" t="n">
        <f aca="false">SUMIFS('One-Time'!$F$5:$F$33,'One-Time'!$B$5:$B$33,"Income",'One-Time'!$D$5:$D$33,"&gt;="&amp;S3,'One-Time'!$D$5:$D$33,"&lt;="&amp;EOMONTH(S3,0))</f>
        <v>0</v>
      </c>
      <c r="T11" s="121" t="n">
        <f aca="false">SUMIFS('One-Time'!$F$5:$F$33,'One-Time'!$B$5:$B$33,"Income",'One-Time'!$D$5:$D$33,"&gt;="&amp;T3,'One-Time'!$D$5:$D$33,"&lt;="&amp;EOMONTH(T3,0))</f>
        <v>0</v>
      </c>
      <c r="U11" s="121" t="n">
        <f aca="false">SUMIFS('One-Time'!$F$5:$F$33,'One-Time'!$B$5:$B$33,"Income",'One-Time'!$D$5:$D$33,"&gt;="&amp;U3,'One-Time'!$D$5:$D$33,"&lt;="&amp;EOMONTH(U3,0))</f>
        <v>0</v>
      </c>
      <c r="V11" s="121" t="n">
        <f aca="false">SUMIFS('One-Time'!$F$5:$F$33,'One-Time'!$B$5:$B$33,"Income",'One-Time'!$D$5:$D$33,"&gt;="&amp;V3,'One-Time'!$D$5:$D$33,"&lt;="&amp;EOMONTH(V3,0))</f>
        <v>0</v>
      </c>
    </row>
    <row r="13" customFormat="false" ht="15" hidden="false" customHeight="false" outlineLevel="0" collapsed="false">
      <c r="A13" s="178" t="str">
        <f aca="false">"BEST CASE — "&amp;IF(Inputs!$B$62&gt;0,"new income from "&amp;TEXT(EDATE(DATE(YEAR(Inputs!$B$6),MONTH(Inputs!$B$6),1),Inputs!$B$62),"mmm yyyy")&amp;" at "&amp;TEXT(Inputs!$B$63,"#,##0")&amp;"/yr","no new income in the first 12 months")</f>
        <v>BEST CASE — new income from Jan 2047 at 0/yr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</row>
    <row r="14" customFormat="false" ht="15" hidden="false" customHeight="false" outlineLevel="0" collapsed="false">
      <c r="A14" s="180" t="s">
        <v>928</v>
      </c>
    </row>
    <row r="15" customFormat="false" ht="15" hidden="false" customHeight="false" outlineLevel="1" collapsed="false">
      <c r="A15" s="99" t="s">
        <v>929</v>
      </c>
      <c r="C15" s="121" t="n">
        <f aca="false">C$5*Inputs!$B$14</f>
        <v>0</v>
      </c>
      <c r="D15" s="121" t="n">
        <f aca="false">D$5*Inputs!$B$14</f>
        <v>0</v>
      </c>
      <c r="E15" s="121" t="n">
        <f aca="false">E$5*Inputs!$B$14</f>
        <v>0</v>
      </c>
      <c r="F15" s="121" t="n">
        <f aca="false">F$5*Inputs!$B$14</f>
        <v>0</v>
      </c>
      <c r="G15" s="121" t="n">
        <f aca="false">G$5*Inputs!$B$14</f>
        <v>0</v>
      </c>
      <c r="H15" s="121" t="n">
        <f aca="false">H$5*Inputs!$B$14</f>
        <v>0</v>
      </c>
      <c r="I15" s="121" t="n">
        <f aca="false">I$5*Inputs!$B$14</f>
        <v>0</v>
      </c>
      <c r="J15" s="121" t="n">
        <f aca="false">J$5*Inputs!$B$14</f>
        <v>0</v>
      </c>
      <c r="K15" s="121" t="n">
        <f aca="false">K$5*Inputs!$B$14</f>
        <v>0</v>
      </c>
      <c r="L15" s="121" t="n">
        <f aca="false">L$5*Inputs!$B$14</f>
        <v>0</v>
      </c>
      <c r="M15" s="121" t="n">
        <f aca="false">M$5*Inputs!$B$14</f>
        <v>0</v>
      </c>
      <c r="N15" s="121" t="n">
        <f aca="false">N$5*Inputs!$B$14</f>
        <v>0</v>
      </c>
      <c r="O15" s="121" t="n">
        <f aca="false">O$5*Inputs!$B$14</f>
        <v>0</v>
      </c>
      <c r="P15" s="121" t="n">
        <f aca="false">P$5*Inputs!$B$14</f>
        <v>0</v>
      </c>
      <c r="Q15" s="121" t="n">
        <f aca="false">Q$5*Inputs!$B$14</f>
        <v>0</v>
      </c>
      <c r="R15" s="121" t="n">
        <f aca="false">R$5*Inputs!$B$14</f>
        <v>0</v>
      </c>
      <c r="S15" s="121" t="n">
        <f aca="false">S$5*Inputs!$B$14</f>
        <v>0</v>
      </c>
      <c r="T15" s="121" t="n">
        <f aca="false">T$5*Inputs!$B$14</f>
        <v>0</v>
      </c>
      <c r="U15" s="121" t="n">
        <f aca="false">U$5*Inputs!$B$14</f>
        <v>0</v>
      </c>
      <c r="V15" s="121" t="n">
        <f aca="false">V$5*Inputs!$B$14</f>
        <v>0</v>
      </c>
    </row>
    <row r="16" customFormat="false" ht="15" hidden="false" customHeight="false" outlineLevel="1" collapsed="false">
      <c r="A16" s="99" t="s">
        <v>930</v>
      </c>
      <c r="C16" s="121" t="n">
        <f aca="false">IF(AND(YEAR(C$3)=YEAR(Inputs!$B$21),MONTH(C$3)=MONTH(Inputs!$B$21)),Inputs!$B$22,0)</f>
        <v>0</v>
      </c>
      <c r="D16" s="121" t="n">
        <f aca="false">IF(AND(YEAR(D$3)=YEAR(Inputs!$B$21),MONTH(D$3)=MONTH(Inputs!$B$21)),Inputs!$B$22,0)</f>
        <v>0</v>
      </c>
      <c r="E16" s="121" t="n">
        <f aca="false">IF(AND(YEAR(E$3)=YEAR(Inputs!$B$21),MONTH(E$3)=MONTH(Inputs!$B$21)),Inputs!$B$22,0)</f>
        <v>0</v>
      </c>
      <c r="F16" s="121" t="n">
        <f aca="false">IF(AND(YEAR(F$3)=YEAR(Inputs!$B$21),MONTH(F$3)=MONTH(Inputs!$B$21)),Inputs!$B$22,0)</f>
        <v>0</v>
      </c>
      <c r="G16" s="121" t="n">
        <f aca="false">IF(AND(YEAR(G$3)=YEAR(Inputs!$B$21),MONTH(G$3)=MONTH(Inputs!$B$21)),Inputs!$B$22,0)</f>
        <v>0</v>
      </c>
      <c r="H16" s="121" t="n">
        <f aca="false">IF(AND(YEAR(H$3)=YEAR(Inputs!$B$21),MONTH(H$3)=MONTH(Inputs!$B$21)),Inputs!$B$22,0)</f>
        <v>0</v>
      </c>
      <c r="I16" s="121" t="n">
        <f aca="false">IF(AND(YEAR(I$3)=YEAR(Inputs!$B$21),MONTH(I$3)=MONTH(Inputs!$B$21)),Inputs!$B$22,0)</f>
        <v>0</v>
      </c>
      <c r="J16" s="121" t="n">
        <f aca="false">IF(AND(YEAR(J$3)=YEAR(Inputs!$B$21),MONTH(J$3)=MONTH(Inputs!$B$21)),Inputs!$B$22,0)</f>
        <v>0</v>
      </c>
      <c r="K16" s="121" t="n">
        <f aca="false">IF(AND(YEAR(K$3)=YEAR(Inputs!$B$21),MONTH(K$3)=MONTH(Inputs!$B$21)),Inputs!$B$22,0)</f>
        <v>0</v>
      </c>
      <c r="L16" s="121" t="n">
        <f aca="false">IF(AND(YEAR(L$3)=YEAR(Inputs!$B$21),MONTH(L$3)=MONTH(Inputs!$B$21)),Inputs!$B$22,0)</f>
        <v>0</v>
      </c>
      <c r="M16" s="121" t="n">
        <f aca="false">IF(AND(YEAR(M$3)=YEAR(Inputs!$B$21),MONTH(M$3)=MONTH(Inputs!$B$21)),Inputs!$B$22,0)</f>
        <v>0</v>
      </c>
      <c r="N16" s="121" t="n">
        <f aca="false">IF(AND(YEAR(N$3)=YEAR(Inputs!$B$21),MONTH(N$3)=MONTH(Inputs!$B$21)),Inputs!$B$22,0)</f>
        <v>0</v>
      </c>
      <c r="O16" s="121" t="n">
        <f aca="false">IF(AND(YEAR(O$3)=YEAR(Inputs!$B$21),MONTH(O$3)=MONTH(Inputs!$B$21)),Inputs!$B$22,0)</f>
        <v>0</v>
      </c>
      <c r="P16" s="121" t="n">
        <f aca="false">IF(AND(YEAR(P$3)=YEAR(Inputs!$B$21),MONTH(P$3)=MONTH(Inputs!$B$21)),Inputs!$B$22,0)</f>
        <v>0</v>
      </c>
      <c r="Q16" s="121" t="n">
        <f aca="false">IF(AND(YEAR(Q$3)=YEAR(Inputs!$B$21),MONTH(Q$3)=MONTH(Inputs!$B$21)),Inputs!$B$22,0)</f>
        <v>0</v>
      </c>
      <c r="R16" s="121" t="n">
        <f aca="false">IF(AND(YEAR(R$3)=YEAR(Inputs!$B$21),MONTH(R$3)=MONTH(Inputs!$B$21)),Inputs!$B$22,0)</f>
        <v>0</v>
      </c>
      <c r="S16" s="121" t="n">
        <f aca="false">IF(AND(YEAR(S$3)=YEAR(Inputs!$B$21),MONTH(S$3)=MONTH(Inputs!$B$21)),Inputs!$B$22,0)</f>
        <v>0</v>
      </c>
      <c r="T16" s="121" t="n">
        <f aca="false">IF(AND(YEAR(T$3)=YEAR(Inputs!$B$21),MONTH(T$3)=MONTH(Inputs!$B$21)),Inputs!$B$22,0)</f>
        <v>0</v>
      </c>
      <c r="U16" s="121" t="n">
        <f aca="false">IF(AND(YEAR(U$3)=YEAR(Inputs!$B$21),MONTH(U$3)=MONTH(Inputs!$B$21)),Inputs!$B$22,0)</f>
        <v>0</v>
      </c>
      <c r="V16" s="121" t="n">
        <f aca="false">IF(AND(YEAR(V$3)=YEAR(Inputs!$B$21),MONTH(V$3)=MONTH(Inputs!$B$21)),Inputs!$B$22,0)</f>
        <v>0</v>
      </c>
    </row>
    <row r="17" customFormat="false" ht="15" hidden="false" customHeight="false" outlineLevel="1" collapsed="false">
      <c r="A17" s="99" t="s">
        <v>931</v>
      </c>
      <c r="C17" s="121" t="n">
        <f aca="false">IF(AND(C$3&gt;=Inputs!$B$25,C$3&lt;EDATE(Inputs!$B$25,Inputs!$B$26)),Inputs!$B$27/Inputs!$B$26,0)</f>
        <v>0</v>
      </c>
      <c r="D17" s="121" t="n">
        <f aca="false">IF(AND(D$3&gt;=Inputs!$B$25,D$3&lt;EDATE(Inputs!$B$25,Inputs!$B$26)),Inputs!$B$27/Inputs!$B$26,0)</f>
        <v>0</v>
      </c>
      <c r="E17" s="121" t="n">
        <f aca="false">IF(AND(E$3&gt;=Inputs!$B$25,E$3&lt;EDATE(Inputs!$B$25,Inputs!$B$26)),Inputs!$B$27/Inputs!$B$26,0)</f>
        <v>0</v>
      </c>
      <c r="F17" s="121" t="n">
        <f aca="false">IF(AND(F$3&gt;=Inputs!$B$25,F$3&lt;EDATE(Inputs!$B$25,Inputs!$B$26)),Inputs!$B$27/Inputs!$B$26,0)</f>
        <v>0</v>
      </c>
      <c r="G17" s="121" t="n">
        <f aca="false">IF(AND(G$3&gt;=Inputs!$B$25,G$3&lt;EDATE(Inputs!$B$25,Inputs!$B$26)),Inputs!$B$27/Inputs!$B$26,0)</f>
        <v>0</v>
      </c>
      <c r="H17" s="121" t="n">
        <f aca="false">IF(AND(H$3&gt;=Inputs!$B$25,H$3&lt;EDATE(Inputs!$B$25,Inputs!$B$26)),Inputs!$B$27/Inputs!$B$26,0)</f>
        <v>0</v>
      </c>
      <c r="I17" s="121" t="n">
        <f aca="false">IF(AND(I$3&gt;=Inputs!$B$25,I$3&lt;EDATE(Inputs!$B$25,Inputs!$B$26)),Inputs!$B$27/Inputs!$B$26,0)</f>
        <v>0</v>
      </c>
      <c r="J17" s="121" t="n">
        <f aca="false">IF(AND(J$3&gt;=Inputs!$B$25,J$3&lt;EDATE(Inputs!$B$25,Inputs!$B$26)),Inputs!$B$27/Inputs!$B$26,0)</f>
        <v>0</v>
      </c>
      <c r="K17" s="121" t="n">
        <f aca="false">IF(AND(K$3&gt;=Inputs!$B$25,K$3&lt;EDATE(Inputs!$B$25,Inputs!$B$26)),Inputs!$B$27/Inputs!$B$26,0)</f>
        <v>0</v>
      </c>
      <c r="L17" s="121" t="n">
        <f aca="false">IF(AND(L$3&gt;=Inputs!$B$25,L$3&lt;EDATE(Inputs!$B$25,Inputs!$B$26)),Inputs!$B$27/Inputs!$B$26,0)</f>
        <v>0</v>
      </c>
      <c r="M17" s="121" t="n">
        <f aca="false">IF(AND(M$3&gt;=Inputs!$B$25,M$3&lt;EDATE(Inputs!$B$25,Inputs!$B$26)),Inputs!$B$27/Inputs!$B$26,0)</f>
        <v>0</v>
      </c>
      <c r="N17" s="121" t="n">
        <f aca="false">IF(AND(N$3&gt;=Inputs!$B$25,N$3&lt;EDATE(Inputs!$B$25,Inputs!$B$26)),Inputs!$B$27/Inputs!$B$26,0)</f>
        <v>0</v>
      </c>
      <c r="O17" s="121" t="n">
        <f aca="false">IF(AND(O$3&gt;=Inputs!$B$25,O$3&lt;EDATE(Inputs!$B$25,Inputs!$B$26)),Inputs!$B$27/Inputs!$B$26,0)</f>
        <v>0</v>
      </c>
      <c r="P17" s="121" t="n">
        <f aca="false">IF(AND(P$3&gt;=Inputs!$B$25,P$3&lt;EDATE(Inputs!$B$25,Inputs!$B$26)),Inputs!$B$27/Inputs!$B$26,0)</f>
        <v>0</v>
      </c>
      <c r="Q17" s="121" t="n">
        <f aca="false">IF(AND(Q$3&gt;=Inputs!$B$25,Q$3&lt;EDATE(Inputs!$B$25,Inputs!$B$26)),Inputs!$B$27/Inputs!$B$26,0)</f>
        <v>0</v>
      </c>
      <c r="R17" s="121" t="n">
        <f aca="false">IF(AND(R$3&gt;=Inputs!$B$25,R$3&lt;EDATE(Inputs!$B$25,Inputs!$B$26)),Inputs!$B$27/Inputs!$B$26,0)</f>
        <v>0</v>
      </c>
      <c r="S17" s="121" t="n">
        <f aca="false">IF(AND(S$3&gt;=Inputs!$B$25,S$3&lt;EDATE(Inputs!$B$25,Inputs!$B$26)),Inputs!$B$27/Inputs!$B$26,0)</f>
        <v>0</v>
      </c>
      <c r="T17" s="121" t="n">
        <f aca="false">IF(AND(T$3&gt;=Inputs!$B$25,T$3&lt;EDATE(Inputs!$B$25,Inputs!$B$26)),Inputs!$B$27/Inputs!$B$26,0)</f>
        <v>0</v>
      </c>
      <c r="U17" s="121" t="n">
        <f aca="false">IF(AND(U$3&gt;=Inputs!$B$25,U$3&lt;EDATE(Inputs!$B$25,Inputs!$B$26)),Inputs!$B$27/Inputs!$B$26,0)</f>
        <v>0</v>
      </c>
      <c r="V17" s="121" t="n">
        <f aca="false">IF(AND(V$3&gt;=Inputs!$B$25,V$3&lt;EDATE(Inputs!$B$25,Inputs!$B$26)),Inputs!$B$27/Inputs!$B$26,0)</f>
        <v>0</v>
      </c>
    </row>
    <row r="18" customFormat="false" ht="15" hidden="false" customHeight="false" outlineLevel="1" collapsed="false">
      <c r="A18" s="99" t="s">
        <v>320</v>
      </c>
      <c r="C18" s="121" t="n">
        <f aca="false">IF(OR(C19&gt;0,C$3&lt;Inputs!$B$31),0,Inputs!$B$32*MAX(0,MIN(1,Inputs!$B$29*12/52-((YEAR(C$3)-YEAR(Inputs!$B$31))*12+MONTH(C$3)-MONTH(Inputs!$B$31)))))</f>
        <v>0</v>
      </c>
      <c r="D18" s="121" t="n">
        <f aca="false">IF(OR(D19&gt;0,D$3&lt;Inputs!$B$31),0,Inputs!$B$32*MAX(0,MIN(1,Inputs!$B$29*12/52-((YEAR(D$3)-YEAR(Inputs!$B$31))*12+MONTH(D$3)-MONTH(Inputs!$B$31)))))</f>
        <v>0</v>
      </c>
      <c r="E18" s="121" t="n">
        <f aca="false">IF(OR(E19&gt;0,E$3&lt;Inputs!$B$31),0,Inputs!$B$32*MAX(0,MIN(1,Inputs!$B$29*12/52-((YEAR(E$3)-YEAR(Inputs!$B$31))*12+MONTH(E$3)-MONTH(Inputs!$B$31)))))</f>
        <v>0</v>
      </c>
      <c r="F18" s="121" t="n">
        <f aca="false">IF(OR(F19&gt;0,F$3&lt;Inputs!$B$31),0,Inputs!$B$32*MAX(0,MIN(1,Inputs!$B$29*12/52-((YEAR(F$3)-YEAR(Inputs!$B$31))*12+MONTH(F$3)-MONTH(Inputs!$B$31)))))</f>
        <v>0</v>
      </c>
      <c r="G18" s="121" t="n">
        <f aca="false">IF(OR(G19&gt;0,G$3&lt;Inputs!$B$31),0,Inputs!$B$32*MAX(0,MIN(1,Inputs!$B$29*12/52-((YEAR(G$3)-YEAR(Inputs!$B$31))*12+MONTH(G$3)-MONTH(Inputs!$B$31)))))</f>
        <v>0</v>
      </c>
      <c r="H18" s="121" t="n">
        <f aca="false">IF(OR(H19&gt;0,H$3&lt;Inputs!$B$31),0,Inputs!$B$32*MAX(0,MIN(1,Inputs!$B$29*12/52-((YEAR(H$3)-YEAR(Inputs!$B$31))*12+MONTH(H$3)-MONTH(Inputs!$B$31)))))</f>
        <v>0</v>
      </c>
      <c r="I18" s="121" t="n">
        <f aca="false">IF(OR(I19&gt;0,I$3&lt;Inputs!$B$31),0,Inputs!$B$32*MAX(0,MIN(1,Inputs!$B$29*12/52-((YEAR(I$3)-YEAR(Inputs!$B$31))*12+MONTH(I$3)-MONTH(Inputs!$B$31)))))</f>
        <v>0</v>
      </c>
      <c r="J18" s="121" t="n">
        <f aca="false">IF(OR(J19&gt;0,J$3&lt;Inputs!$B$31),0,Inputs!$B$32*MAX(0,MIN(1,Inputs!$B$29*12/52-((YEAR(J$3)-YEAR(Inputs!$B$31))*12+MONTH(J$3)-MONTH(Inputs!$B$31)))))</f>
        <v>0</v>
      </c>
      <c r="K18" s="121" t="n">
        <f aca="false">IF(OR(K19&gt;0,K$3&lt;Inputs!$B$31),0,Inputs!$B$32*MAX(0,MIN(1,Inputs!$B$29*12/52-((YEAR(K$3)-YEAR(Inputs!$B$31))*12+MONTH(K$3)-MONTH(Inputs!$B$31)))))</f>
        <v>0</v>
      </c>
      <c r="L18" s="121" t="n">
        <f aca="false">IF(OR(L19&gt;0,L$3&lt;Inputs!$B$31),0,Inputs!$B$32*MAX(0,MIN(1,Inputs!$B$29*12/52-((YEAR(L$3)-YEAR(Inputs!$B$31))*12+MONTH(L$3)-MONTH(Inputs!$B$31)))))</f>
        <v>0</v>
      </c>
      <c r="M18" s="121" t="n">
        <f aca="false">IF(OR(M19&gt;0,M$3&lt;Inputs!$B$31),0,Inputs!$B$32*MAX(0,MIN(1,Inputs!$B$29*12/52-((YEAR(M$3)-YEAR(Inputs!$B$31))*12+MONTH(M$3)-MONTH(Inputs!$B$31)))))</f>
        <v>0</v>
      </c>
      <c r="N18" s="121" t="n">
        <f aca="false">IF(OR(N19&gt;0,N$3&lt;Inputs!$B$31),0,Inputs!$B$32*MAX(0,MIN(1,Inputs!$B$29*12/52-((YEAR(N$3)-YEAR(Inputs!$B$31))*12+MONTH(N$3)-MONTH(Inputs!$B$31)))))</f>
        <v>0</v>
      </c>
      <c r="O18" s="121" t="n">
        <f aca="false">IF(OR(O19&gt;0,O$3&lt;Inputs!$B$31),0,Inputs!$B$32*MAX(0,MIN(1,Inputs!$B$29*12/52-((YEAR(O$3)-YEAR(Inputs!$B$31))*12+MONTH(O$3)-MONTH(Inputs!$B$31)))))</f>
        <v>0</v>
      </c>
      <c r="P18" s="121" t="n">
        <f aca="false">IF(OR(P19&gt;0,P$3&lt;Inputs!$B$31),0,Inputs!$B$32*MAX(0,MIN(1,Inputs!$B$29*12/52-((YEAR(P$3)-YEAR(Inputs!$B$31))*12+MONTH(P$3)-MONTH(Inputs!$B$31)))))</f>
        <v>0</v>
      </c>
      <c r="Q18" s="121" t="n">
        <f aca="false">IF(OR(Q19&gt;0,Q$3&lt;Inputs!$B$31),0,Inputs!$B$32*MAX(0,MIN(1,Inputs!$B$29*12/52-((YEAR(Q$3)-YEAR(Inputs!$B$31))*12+MONTH(Q$3)-MONTH(Inputs!$B$31)))))</f>
        <v>0</v>
      </c>
      <c r="R18" s="121" t="n">
        <f aca="false">IF(OR(R19&gt;0,R$3&lt;Inputs!$B$31),0,Inputs!$B$32*MAX(0,MIN(1,Inputs!$B$29*12/52-((YEAR(R$3)-YEAR(Inputs!$B$31))*12+MONTH(R$3)-MONTH(Inputs!$B$31)))))</f>
        <v>0</v>
      </c>
      <c r="S18" s="121" t="n">
        <f aca="false">IF(OR(S19&gt;0,S$3&lt;Inputs!$B$31),0,Inputs!$B$32*MAX(0,MIN(1,Inputs!$B$29*12/52-((YEAR(S$3)-YEAR(Inputs!$B$31))*12+MONTH(S$3)-MONTH(Inputs!$B$31)))))</f>
        <v>0</v>
      </c>
      <c r="T18" s="121" t="n">
        <f aca="false">IF(OR(T19&gt;0,T$3&lt;Inputs!$B$31),0,Inputs!$B$32*MAX(0,MIN(1,Inputs!$B$29*12/52-((YEAR(T$3)-YEAR(Inputs!$B$31))*12+MONTH(T$3)-MONTH(Inputs!$B$31)))))</f>
        <v>0</v>
      </c>
      <c r="U18" s="121" t="n">
        <f aca="false">IF(OR(U19&gt;0,U$3&lt;Inputs!$B$31),0,Inputs!$B$32*MAX(0,MIN(1,Inputs!$B$29*12/52-((YEAR(U$3)-YEAR(Inputs!$B$31))*12+MONTH(U$3)-MONTH(Inputs!$B$31)))))</f>
        <v>0</v>
      </c>
      <c r="V18" s="121" t="n">
        <f aca="false">IF(OR(V19&gt;0,V$3&lt;Inputs!$B$31),0,Inputs!$B$32*MAX(0,MIN(1,Inputs!$B$29*12/52-((YEAR(V$3)-YEAR(Inputs!$B$31))*12+MONTH(V$3)-MONTH(Inputs!$B$31)))))</f>
        <v>0</v>
      </c>
    </row>
    <row r="19" customFormat="false" ht="15" hidden="false" customHeight="false" outlineLevel="1" collapsed="false">
      <c r="A19" s="99" t="s">
        <v>932</v>
      </c>
      <c r="C19" s="121" t="n">
        <f aca="false">IF(AND(N(Inputs!$B$62)&gt;0,C$4&gt;=Inputs!$B$62),N(Inputs!$B$63)*Inputs!$B$64/12,0)</f>
        <v>0</v>
      </c>
      <c r="D19" s="121" t="n">
        <f aca="false">IF(AND(N(Inputs!$B$62)&gt;0,D$4&gt;=Inputs!$B$62),N(Inputs!$B$63)*Inputs!$B$64/12,0)</f>
        <v>0</v>
      </c>
      <c r="E19" s="121" t="n">
        <f aca="false">IF(AND(N(Inputs!$B$62)&gt;0,E$4&gt;=Inputs!$B$62),N(Inputs!$B$63)*Inputs!$B$64/12,0)</f>
        <v>0</v>
      </c>
      <c r="F19" s="121" t="n">
        <f aca="false">IF(AND(N(Inputs!$B$62)&gt;0,F$4&gt;=Inputs!$B$62),N(Inputs!$B$63)*Inputs!$B$64/12,0)</f>
        <v>0</v>
      </c>
      <c r="G19" s="121" t="n">
        <f aca="false">IF(AND(N(Inputs!$B$62)&gt;0,G$4&gt;=Inputs!$B$62),N(Inputs!$B$63)*Inputs!$B$64/12,0)</f>
        <v>0</v>
      </c>
      <c r="H19" s="121" t="n">
        <f aca="false">IF(AND(N(Inputs!$B$62)&gt;0,H$4&gt;=Inputs!$B$62),N(Inputs!$B$63)*Inputs!$B$64/12,0)</f>
        <v>0</v>
      </c>
      <c r="I19" s="121" t="n">
        <f aca="false">IF(AND(N(Inputs!$B$62)&gt;0,I$4&gt;=Inputs!$B$62),N(Inputs!$B$63)*Inputs!$B$64/12,0)</f>
        <v>0</v>
      </c>
      <c r="J19" s="121" t="n">
        <f aca="false">IF(AND(N(Inputs!$B$62)&gt;0,J$4&gt;=Inputs!$B$62),N(Inputs!$B$63)*Inputs!$B$64/12,0)</f>
        <v>0</v>
      </c>
      <c r="K19" s="121" t="n">
        <f aca="false">IF(AND(N(Inputs!$B$62)&gt;0,K$4&gt;=Inputs!$B$62),N(Inputs!$B$63)*Inputs!$B$64/12,0)</f>
        <v>0</v>
      </c>
      <c r="L19" s="121" t="n">
        <f aca="false">IF(AND(N(Inputs!$B$62)&gt;0,L$4&gt;=Inputs!$B$62),N(Inputs!$B$63)*Inputs!$B$64/12,0)</f>
        <v>0</v>
      </c>
      <c r="M19" s="121" t="n">
        <f aca="false">IF(AND(N(Inputs!$B$62)&gt;0,M$4&gt;=Inputs!$B$62),N(Inputs!$B$63)*Inputs!$B$64/12,0)</f>
        <v>0</v>
      </c>
      <c r="N19" s="121" t="n">
        <f aca="false">IF(AND(N(Inputs!$B$62)&gt;0,N$4&gt;=Inputs!$B$62),N(Inputs!$B$63)*Inputs!$B$64/12,0)</f>
        <v>0</v>
      </c>
      <c r="O19" s="121" t="n">
        <f aca="false">IF(AND(N(Inputs!$B$62)&gt;0,O$4&gt;=Inputs!$B$62),N(Inputs!$B$63)*Inputs!$B$64/12,0)</f>
        <v>0</v>
      </c>
      <c r="P19" s="121" t="n">
        <f aca="false">IF(AND(N(Inputs!$B$62)&gt;0,P$4&gt;=Inputs!$B$62),N(Inputs!$B$63)*Inputs!$B$64/12,0)</f>
        <v>0</v>
      </c>
      <c r="Q19" s="121" t="n">
        <f aca="false">IF(AND(N(Inputs!$B$62)&gt;0,Q$4&gt;=Inputs!$B$62),N(Inputs!$B$63)*Inputs!$B$64/12,0)</f>
        <v>0</v>
      </c>
      <c r="R19" s="121" t="n">
        <f aca="false">IF(AND(N(Inputs!$B$62)&gt;0,R$4&gt;=Inputs!$B$62),N(Inputs!$B$63)*Inputs!$B$64/12,0)</f>
        <v>0</v>
      </c>
      <c r="S19" s="121" t="n">
        <f aca="false">IF(AND(N(Inputs!$B$62)&gt;0,S$4&gt;=Inputs!$B$62),N(Inputs!$B$63)*Inputs!$B$64/12,0)</f>
        <v>0</v>
      </c>
      <c r="T19" s="121" t="n">
        <f aca="false">IF(AND(N(Inputs!$B$62)&gt;0,T$4&gt;=Inputs!$B$62),N(Inputs!$B$63)*Inputs!$B$64/12,0)</f>
        <v>0</v>
      </c>
      <c r="U19" s="121" t="n">
        <f aca="false">IF(AND(N(Inputs!$B$62)&gt;0,U$4&gt;=Inputs!$B$62),N(Inputs!$B$63)*Inputs!$B$64/12,0)</f>
        <v>0</v>
      </c>
      <c r="V19" s="121" t="n">
        <f aca="false">IF(AND(N(Inputs!$B$62)&gt;0,V$4&gt;=Inputs!$B$62),N(Inputs!$B$63)*Inputs!$B$64/12,0)</f>
        <v>0</v>
      </c>
    </row>
    <row r="20" customFormat="false" ht="15" hidden="false" customHeight="false" outlineLevel="1" collapsed="false">
      <c r="A20" s="99" t="s">
        <v>312</v>
      </c>
      <c r="C20" s="121" t="n">
        <f aca="false">Inputs!$B$44*C$7+Inputs!$B$46*C$8+IF(AND(Inputs!$B$65&lt;&gt;"",C$3&gt;=Inputs!$B$65),Inputs!$B$49*Inputs!$B$66*52/12*Inputs!$B$50,0)</f>
        <v>0</v>
      </c>
      <c r="D20" s="121" t="n">
        <f aca="false">Inputs!$B$44*D$7+Inputs!$B$46*D$8+IF(AND(Inputs!$B$65&lt;&gt;"",D$3&gt;=Inputs!$B$65),Inputs!$B$49*Inputs!$B$66*52/12*Inputs!$B$50,0)</f>
        <v>0</v>
      </c>
      <c r="E20" s="121" t="n">
        <f aca="false">Inputs!$B$44*E$7+Inputs!$B$46*E$8+IF(AND(Inputs!$B$65&lt;&gt;"",E$3&gt;=Inputs!$B$65),Inputs!$B$49*Inputs!$B$66*52/12*Inputs!$B$50,0)</f>
        <v>0</v>
      </c>
      <c r="F20" s="121" t="n">
        <f aca="false">Inputs!$B$44*F$7+Inputs!$B$46*F$8+IF(AND(Inputs!$B$65&lt;&gt;"",F$3&gt;=Inputs!$B$65),Inputs!$B$49*Inputs!$B$66*52/12*Inputs!$B$50,0)</f>
        <v>0</v>
      </c>
      <c r="G20" s="121" t="n">
        <f aca="false">Inputs!$B$44*G$7+Inputs!$B$46*G$8+IF(AND(Inputs!$B$65&lt;&gt;"",G$3&gt;=Inputs!$B$65),Inputs!$B$49*Inputs!$B$66*52/12*Inputs!$B$50,0)</f>
        <v>0</v>
      </c>
      <c r="H20" s="121" t="n">
        <f aca="false">Inputs!$B$44*H$7+Inputs!$B$46*H$8+IF(AND(Inputs!$B$65&lt;&gt;"",H$3&gt;=Inputs!$B$65),Inputs!$B$49*Inputs!$B$66*52/12*Inputs!$B$50,0)</f>
        <v>0</v>
      </c>
      <c r="I20" s="121" t="n">
        <f aca="false">Inputs!$B$44*I$7+Inputs!$B$46*I$8+IF(AND(Inputs!$B$65&lt;&gt;"",I$3&gt;=Inputs!$B$65),Inputs!$B$49*Inputs!$B$66*52/12*Inputs!$B$50,0)</f>
        <v>0</v>
      </c>
      <c r="J20" s="121" t="n">
        <f aca="false">Inputs!$B$44*J$7+Inputs!$B$46*J$8+IF(AND(Inputs!$B$65&lt;&gt;"",J$3&gt;=Inputs!$B$65),Inputs!$B$49*Inputs!$B$66*52/12*Inputs!$B$50,0)</f>
        <v>0</v>
      </c>
      <c r="K20" s="121" t="n">
        <f aca="false">Inputs!$B$44*K$7+Inputs!$B$46*K$8+IF(AND(Inputs!$B$65&lt;&gt;"",K$3&gt;=Inputs!$B$65),Inputs!$B$49*Inputs!$B$66*52/12*Inputs!$B$50,0)</f>
        <v>0</v>
      </c>
      <c r="L20" s="121" t="n">
        <f aca="false">Inputs!$B$44*L$7+Inputs!$B$46*L$8+IF(AND(Inputs!$B$65&lt;&gt;"",L$3&gt;=Inputs!$B$65),Inputs!$B$49*Inputs!$B$66*52/12*Inputs!$B$50,0)</f>
        <v>0</v>
      </c>
      <c r="M20" s="121" t="n">
        <f aca="false">Inputs!$B$44*M$7+Inputs!$B$46*M$8+IF(AND(Inputs!$B$65&lt;&gt;"",M$3&gt;=Inputs!$B$65),Inputs!$B$49*Inputs!$B$66*52/12*Inputs!$B$50,0)</f>
        <v>0</v>
      </c>
      <c r="N20" s="121" t="n">
        <f aca="false">Inputs!$B$44*N$7+Inputs!$B$46*N$8+IF(AND(Inputs!$B$65&lt;&gt;"",N$3&gt;=Inputs!$B$65),Inputs!$B$49*Inputs!$B$66*52/12*Inputs!$B$50,0)</f>
        <v>0</v>
      </c>
      <c r="O20" s="121" t="n">
        <f aca="false">Inputs!$B$44*O$7+Inputs!$B$46*O$8+IF(AND(Inputs!$B$65&lt;&gt;"",O$3&gt;=Inputs!$B$65),Inputs!$B$49*Inputs!$B$66*52/12*Inputs!$B$50,0)</f>
        <v>0</v>
      </c>
      <c r="P20" s="121" t="n">
        <f aca="false">Inputs!$B$44*P$7+Inputs!$B$46*P$8+IF(AND(Inputs!$B$65&lt;&gt;"",P$3&gt;=Inputs!$B$65),Inputs!$B$49*Inputs!$B$66*52/12*Inputs!$B$50,0)</f>
        <v>0</v>
      </c>
      <c r="Q20" s="121" t="n">
        <f aca="false">Inputs!$B$44*Q$7+Inputs!$B$46*Q$8+IF(AND(Inputs!$B$65&lt;&gt;"",Q$3&gt;=Inputs!$B$65),Inputs!$B$49*Inputs!$B$66*52/12*Inputs!$B$50,0)</f>
        <v>0</v>
      </c>
      <c r="R20" s="121" t="n">
        <f aca="false">Inputs!$B$44*R$7+Inputs!$B$46*R$8+IF(AND(Inputs!$B$65&lt;&gt;"",R$3&gt;=Inputs!$B$65),Inputs!$B$49*Inputs!$B$66*52/12*Inputs!$B$50,0)</f>
        <v>0</v>
      </c>
      <c r="S20" s="121" t="n">
        <f aca="false">Inputs!$B$44*S$7+Inputs!$B$46*S$8+IF(AND(Inputs!$B$65&lt;&gt;"",S$3&gt;=Inputs!$B$65),Inputs!$B$49*Inputs!$B$66*52/12*Inputs!$B$50,0)</f>
        <v>0</v>
      </c>
      <c r="T20" s="121" t="n">
        <f aca="false">Inputs!$B$44*T$7+Inputs!$B$46*T$8+IF(AND(Inputs!$B$65&lt;&gt;"",T$3&gt;=Inputs!$B$65),Inputs!$B$49*Inputs!$B$66*52/12*Inputs!$B$50,0)</f>
        <v>0</v>
      </c>
      <c r="U20" s="121" t="n">
        <f aca="false">Inputs!$B$44*U$7+Inputs!$B$46*U$8+IF(AND(Inputs!$B$65&lt;&gt;"",U$3&gt;=Inputs!$B$65),Inputs!$B$49*Inputs!$B$66*52/12*Inputs!$B$50,0)</f>
        <v>0</v>
      </c>
      <c r="V20" s="121" t="n">
        <f aca="false">Inputs!$B$44*V$7+Inputs!$B$46*V$8+IF(AND(Inputs!$B$65&lt;&gt;"",V$3&gt;=Inputs!$B$65),Inputs!$B$49*Inputs!$B$66*52/12*Inputs!$B$50,0)</f>
        <v>0</v>
      </c>
    </row>
    <row r="21" customFormat="false" ht="15" hidden="false" customHeight="false" outlineLevel="1" collapsed="false">
      <c r="A21" s="99" t="s">
        <v>933</v>
      </c>
      <c r="C21" s="126" t="n">
        <f aca="false">C$11</f>
        <v>0</v>
      </c>
      <c r="D21" s="126" t="n">
        <f aca="false">D$11</f>
        <v>0</v>
      </c>
      <c r="E21" s="126" t="n">
        <f aca="false">E$11</f>
        <v>0</v>
      </c>
      <c r="F21" s="126" t="n">
        <f aca="false">F$11</f>
        <v>0</v>
      </c>
      <c r="G21" s="126" t="n">
        <f aca="false">G$11</f>
        <v>0</v>
      </c>
      <c r="H21" s="126" t="n">
        <f aca="false">H$11</f>
        <v>0</v>
      </c>
      <c r="I21" s="126" t="n">
        <f aca="false">I$11</f>
        <v>0</v>
      </c>
      <c r="J21" s="126" t="n">
        <f aca="false">J$11</f>
        <v>0</v>
      </c>
      <c r="K21" s="126" t="n">
        <f aca="false">K$11</f>
        <v>0</v>
      </c>
      <c r="L21" s="126" t="n">
        <f aca="false">L$11</f>
        <v>0</v>
      </c>
      <c r="M21" s="126" t="n">
        <f aca="false">M$11</f>
        <v>0</v>
      </c>
      <c r="N21" s="126" t="n">
        <f aca="false">N$11</f>
        <v>0</v>
      </c>
      <c r="O21" s="126" t="n">
        <f aca="false">O$11</f>
        <v>0</v>
      </c>
      <c r="P21" s="126" t="n">
        <f aca="false">P$11</f>
        <v>0</v>
      </c>
      <c r="Q21" s="126" t="n">
        <f aca="false">Q$11</f>
        <v>0</v>
      </c>
      <c r="R21" s="126" t="n">
        <f aca="false">R$11</f>
        <v>0</v>
      </c>
      <c r="S21" s="126" t="n">
        <f aca="false">S$11</f>
        <v>0</v>
      </c>
      <c r="T21" s="126" t="n">
        <f aca="false">T$11</f>
        <v>0</v>
      </c>
      <c r="U21" s="126" t="n">
        <f aca="false">U$11</f>
        <v>0</v>
      </c>
      <c r="V21" s="126" t="n">
        <f aca="false">V$11</f>
        <v>0</v>
      </c>
    </row>
    <row r="22" customFormat="false" ht="15" hidden="false" customHeight="false" outlineLevel="0" collapsed="false">
      <c r="A22" s="174" t="s">
        <v>934</v>
      </c>
      <c r="C22" s="181" t="n">
        <f aca="false">SUM(C15:C21)</f>
        <v>0</v>
      </c>
      <c r="D22" s="181" t="n">
        <f aca="false">SUM(D15:D21)</f>
        <v>0</v>
      </c>
      <c r="E22" s="181" t="n">
        <f aca="false">SUM(E15:E21)</f>
        <v>0</v>
      </c>
      <c r="F22" s="181" t="n">
        <f aca="false">SUM(F15:F21)</f>
        <v>0</v>
      </c>
      <c r="G22" s="181" t="n">
        <f aca="false">SUM(G15:G21)</f>
        <v>0</v>
      </c>
      <c r="H22" s="181" t="n">
        <f aca="false">SUM(H15:H21)</f>
        <v>0</v>
      </c>
      <c r="I22" s="181" t="n">
        <f aca="false">SUM(I15:I21)</f>
        <v>0</v>
      </c>
      <c r="J22" s="181" t="n">
        <f aca="false">SUM(J15:J21)</f>
        <v>0</v>
      </c>
      <c r="K22" s="181" t="n">
        <f aca="false">SUM(K15:K21)</f>
        <v>0</v>
      </c>
      <c r="L22" s="181" t="n">
        <f aca="false">SUM(L15:L21)</f>
        <v>0</v>
      </c>
      <c r="M22" s="181" t="n">
        <f aca="false">SUM(M15:M21)</f>
        <v>0</v>
      </c>
      <c r="N22" s="181" t="n">
        <f aca="false">SUM(N15:N21)</f>
        <v>0</v>
      </c>
      <c r="O22" s="181" t="n">
        <f aca="false">SUM(O15:O21)</f>
        <v>0</v>
      </c>
      <c r="P22" s="181" t="n">
        <f aca="false">SUM(P15:P21)</f>
        <v>0</v>
      </c>
      <c r="Q22" s="181" t="n">
        <f aca="false">SUM(Q15:Q21)</f>
        <v>0</v>
      </c>
      <c r="R22" s="181" t="n">
        <f aca="false">SUM(R15:R21)</f>
        <v>0</v>
      </c>
      <c r="S22" s="181" t="n">
        <f aca="false">SUM(S15:S21)</f>
        <v>0</v>
      </c>
      <c r="T22" s="181" t="n">
        <f aca="false">SUM(T15:T21)</f>
        <v>0</v>
      </c>
      <c r="U22" s="181" t="n">
        <f aca="false">SUM(U15:U21)</f>
        <v>0</v>
      </c>
      <c r="V22" s="181" t="n">
        <f aca="false">SUM(V15:V21)</f>
        <v>0</v>
      </c>
    </row>
    <row r="23" customFormat="false" ht="15" hidden="false" customHeight="false" outlineLevel="0" collapsed="false">
      <c r="A23" s="180" t="s">
        <v>935</v>
      </c>
    </row>
    <row r="24" customFormat="false" ht="15" hidden="false" customHeight="false" outlineLevel="1" collapsed="false">
      <c r="A24" s="99" t="s">
        <v>936</v>
      </c>
      <c r="C24" s="121" t="n">
        <f aca="false">IF(C$4&lt;=0,Budget!$K$36,INDEX(Budget!$K$36:$M$36,1,Inputs!$B$68))</f>
        <v>0</v>
      </c>
      <c r="D24" s="121" t="n">
        <f aca="false">IF(D$4&lt;=0,Budget!$K$36,INDEX(Budget!$K$36:$M$36,1,Inputs!$B$68))</f>
        <v>0</v>
      </c>
      <c r="E24" s="121" t="n">
        <f aca="false">IF(E$4&lt;=0,Budget!$K$36,INDEX(Budget!$K$36:$M$36,1,Inputs!$B$68))</f>
        <v>0</v>
      </c>
      <c r="F24" s="121" t="n">
        <f aca="false">IF(F$4&lt;=0,Budget!$K$36,INDEX(Budget!$K$36:$M$36,1,Inputs!$B$68))</f>
        <v>0</v>
      </c>
      <c r="G24" s="121" t="n">
        <f aca="false">IF(G$4&lt;=0,Budget!$K$36,INDEX(Budget!$K$36:$M$36,1,Inputs!$B$68))</f>
        <v>0</v>
      </c>
      <c r="H24" s="121" t="n">
        <f aca="false">IF(H$4&lt;=0,Budget!$K$36,INDEX(Budget!$K$36:$M$36,1,Inputs!$B$68))</f>
        <v>0</v>
      </c>
      <c r="I24" s="121" t="n">
        <f aca="false">IF(I$4&lt;=0,Budget!$K$36,INDEX(Budget!$K$36:$M$36,1,Inputs!$B$68))</f>
        <v>0</v>
      </c>
      <c r="J24" s="121" t="n">
        <f aca="false">IF(J$4&lt;=0,Budget!$K$36,INDEX(Budget!$K$36:$M$36,1,Inputs!$B$68))</f>
        <v>0</v>
      </c>
      <c r="K24" s="121" t="n">
        <f aca="false">IF(K$4&lt;=0,Budget!$K$36,INDEX(Budget!$K$36:$M$36,1,Inputs!$B$68))</f>
        <v>0</v>
      </c>
      <c r="L24" s="121" t="n">
        <f aca="false">IF(L$4&lt;=0,Budget!$K$36,INDEX(Budget!$K$36:$M$36,1,Inputs!$B$68))</f>
        <v>0</v>
      </c>
      <c r="M24" s="121" t="n">
        <f aca="false">IF(M$4&lt;=0,Budget!$K$36,INDEX(Budget!$K$36:$M$36,1,Inputs!$B$68))</f>
        <v>0</v>
      </c>
      <c r="N24" s="121" t="n">
        <f aca="false">IF(N$4&lt;=0,Budget!$K$36,INDEX(Budget!$K$36:$M$36,1,Inputs!$B$68))</f>
        <v>0</v>
      </c>
      <c r="O24" s="121" t="n">
        <f aca="false">IF(O$4&lt;=0,Budget!$K$36,INDEX(Budget!$K$36:$M$36,1,Inputs!$B$68))</f>
        <v>0</v>
      </c>
      <c r="P24" s="121" t="n">
        <f aca="false">IF(P$4&lt;=0,Budget!$K$36,INDEX(Budget!$K$36:$M$36,1,Inputs!$B$68))</f>
        <v>0</v>
      </c>
      <c r="Q24" s="121" t="n">
        <f aca="false">IF(Q$4&lt;=0,Budget!$K$36,INDEX(Budget!$K$36:$M$36,1,Inputs!$B$68))</f>
        <v>0</v>
      </c>
      <c r="R24" s="121" t="n">
        <f aca="false">IF(R$4&lt;=0,Budget!$K$36,INDEX(Budget!$K$36:$M$36,1,Inputs!$B$68))</f>
        <v>0</v>
      </c>
      <c r="S24" s="121" t="n">
        <f aca="false">IF(S$4&lt;=0,Budget!$K$36,INDEX(Budget!$K$36:$M$36,1,Inputs!$B$68))</f>
        <v>0</v>
      </c>
      <c r="T24" s="121" t="n">
        <f aca="false">IF(T$4&lt;=0,Budget!$K$36,INDEX(Budget!$K$36:$M$36,1,Inputs!$B$68))</f>
        <v>0</v>
      </c>
      <c r="U24" s="121" t="n">
        <f aca="false">IF(U$4&lt;=0,Budget!$K$36,INDEX(Budget!$K$36:$M$36,1,Inputs!$B$68))</f>
        <v>0</v>
      </c>
      <c r="V24" s="121" t="n">
        <f aca="false">IF(V$4&lt;=0,Budget!$K$36,INDEX(Budget!$K$36:$M$36,1,Inputs!$B$68))</f>
        <v>0</v>
      </c>
    </row>
    <row r="25" customFormat="false" ht="15" hidden="false" customHeight="false" outlineLevel="1" collapsed="false">
      <c r="A25" s="99" t="s">
        <v>937</v>
      </c>
      <c r="C25" s="121" t="n">
        <f aca="false">IF(C$4&lt;=0,Budget!$K$37,INDEX(Budget!$K$37:$M$37,1,Inputs!$B$68))*IF(C$6&gt;0,Inputs!$B$54,1)</f>
        <v>0</v>
      </c>
      <c r="D25" s="121" t="n">
        <f aca="false">IF(D$4&lt;=0,Budget!$K$37,INDEX(Budget!$K$37:$M$37,1,Inputs!$B$68))*IF(D$6&gt;0,Inputs!$B$54,1)</f>
        <v>0</v>
      </c>
      <c r="E25" s="121" t="n">
        <f aca="false">IF(E$4&lt;=0,Budget!$K$37,INDEX(Budget!$K$37:$M$37,1,Inputs!$B$68))*IF(E$6&gt;0,Inputs!$B$54,1)</f>
        <v>0</v>
      </c>
      <c r="F25" s="121" t="n">
        <f aca="false">IF(F$4&lt;=0,Budget!$K$37,INDEX(Budget!$K$37:$M$37,1,Inputs!$B$68))*IF(F$6&gt;0,Inputs!$B$54,1)</f>
        <v>0</v>
      </c>
      <c r="G25" s="121" t="n">
        <f aca="false">IF(G$4&lt;=0,Budget!$K$37,INDEX(Budget!$K$37:$M$37,1,Inputs!$B$68))*IF(G$6&gt;0,Inputs!$B$54,1)</f>
        <v>0</v>
      </c>
      <c r="H25" s="121" t="n">
        <f aca="false">IF(H$4&lt;=0,Budget!$K$37,INDEX(Budget!$K$37:$M$37,1,Inputs!$B$68))*IF(H$6&gt;0,Inputs!$B$54,1)</f>
        <v>0</v>
      </c>
      <c r="I25" s="121" t="n">
        <f aca="false">IF(I$4&lt;=0,Budget!$K$37,INDEX(Budget!$K$37:$M$37,1,Inputs!$B$68))*IF(I$6&gt;0,Inputs!$B$54,1)</f>
        <v>0</v>
      </c>
      <c r="J25" s="121" t="n">
        <f aca="false">IF(J$4&lt;=0,Budget!$K$37,INDEX(Budget!$K$37:$M$37,1,Inputs!$B$68))*IF(J$6&gt;0,Inputs!$B$54,1)</f>
        <v>0</v>
      </c>
      <c r="K25" s="121" t="n">
        <f aca="false">IF(K$4&lt;=0,Budget!$K$37,INDEX(Budget!$K$37:$M$37,1,Inputs!$B$68))*IF(K$6&gt;0,Inputs!$B$54,1)</f>
        <v>0</v>
      </c>
      <c r="L25" s="121" t="n">
        <f aca="false">IF(L$4&lt;=0,Budget!$K$37,INDEX(Budget!$K$37:$M$37,1,Inputs!$B$68))*IF(L$6&gt;0,Inputs!$B$54,1)</f>
        <v>0</v>
      </c>
      <c r="M25" s="121" t="n">
        <f aca="false">IF(M$4&lt;=0,Budget!$K$37,INDEX(Budget!$K$37:$M$37,1,Inputs!$B$68))*IF(M$6&gt;0,Inputs!$B$54,1)</f>
        <v>0</v>
      </c>
      <c r="N25" s="121" t="n">
        <f aca="false">IF(N$4&lt;=0,Budget!$K$37,INDEX(Budget!$K$37:$M$37,1,Inputs!$B$68))*IF(N$6&gt;0,Inputs!$B$54,1)</f>
        <v>0</v>
      </c>
      <c r="O25" s="121" t="n">
        <f aca="false">IF(O$4&lt;=0,Budget!$K$37,INDEX(Budget!$K$37:$M$37,1,Inputs!$B$68))*IF(O$6&gt;0,Inputs!$B$54,1)</f>
        <v>0</v>
      </c>
      <c r="P25" s="121" t="n">
        <f aca="false">IF(P$4&lt;=0,Budget!$K$37,INDEX(Budget!$K$37:$M$37,1,Inputs!$B$68))*IF(P$6&gt;0,Inputs!$B$54,1)</f>
        <v>0</v>
      </c>
      <c r="Q25" s="121" t="n">
        <f aca="false">IF(Q$4&lt;=0,Budget!$K$37,INDEX(Budget!$K$37:$M$37,1,Inputs!$B$68))*IF(Q$6&gt;0,Inputs!$B$54,1)</f>
        <v>0</v>
      </c>
      <c r="R25" s="121" t="n">
        <f aca="false">IF(R$4&lt;=0,Budget!$K$37,INDEX(Budget!$K$37:$M$37,1,Inputs!$B$68))*IF(R$6&gt;0,Inputs!$B$54,1)</f>
        <v>0</v>
      </c>
      <c r="S25" s="121" t="n">
        <f aca="false">IF(S$4&lt;=0,Budget!$K$37,INDEX(Budget!$K$37:$M$37,1,Inputs!$B$68))*IF(S$6&gt;0,Inputs!$B$54,1)</f>
        <v>0</v>
      </c>
      <c r="T25" s="121" t="n">
        <f aca="false">IF(T$4&lt;=0,Budget!$K$37,INDEX(Budget!$K$37:$M$37,1,Inputs!$B$68))*IF(T$6&gt;0,Inputs!$B$54,1)</f>
        <v>0</v>
      </c>
      <c r="U25" s="121" t="n">
        <f aca="false">IF(U$4&lt;=0,Budget!$K$37,INDEX(Budget!$K$37:$M$37,1,Inputs!$B$68))*IF(U$6&gt;0,Inputs!$B$54,1)</f>
        <v>0</v>
      </c>
      <c r="V25" s="121" t="n">
        <f aca="false">IF(V$4&lt;=0,Budget!$K$37,INDEX(Budget!$K$37:$M$37,1,Inputs!$B$68))*IF(V$6&gt;0,Inputs!$B$54,1)</f>
        <v>0</v>
      </c>
    </row>
    <row r="26" customFormat="false" ht="15" hidden="false" customHeight="false" outlineLevel="1" collapsed="false">
      <c r="A26" s="99" t="s">
        <v>938</v>
      </c>
      <c r="C26" s="121" t="n">
        <f aca="false">IF(C$4&lt;1,0,IF(C19&gt;0,0,IF(C$4&lt;=12,Inputs!$B$40,IF(C$4&lt;=18,Inputs!$B$41,0))))</f>
        <v>0</v>
      </c>
      <c r="D26" s="121" t="n">
        <f aca="false">IF(D$4&lt;1,0,IF(D19&gt;0,0,IF(D$4&lt;=12,Inputs!$B$40,IF(D$4&lt;=18,Inputs!$B$41,0))))</f>
        <v>0</v>
      </c>
      <c r="E26" s="121" t="n">
        <f aca="false">IF(E$4&lt;1,0,IF(E19&gt;0,0,IF(E$4&lt;=12,Inputs!$B$40,IF(E$4&lt;=18,Inputs!$B$41,0))))</f>
        <v>0</v>
      </c>
      <c r="F26" s="121" t="n">
        <f aca="false">IF(F$4&lt;1,0,IF(F19&gt;0,0,IF(F$4&lt;=12,Inputs!$B$40,IF(F$4&lt;=18,Inputs!$B$41,0))))</f>
        <v>0</v>
      </c>
      <c r="G26" s="121" t="n">
        <f aca="false">IF(G$4&lt;1,0,IF(G19&gt;0,0,IF(G$4&lt;=12,Inputs!$B$40,IF(G$4&lt;=18,Inputs!$B$41,0))))</f>
        <v>0</v>
      </c>
      <c r="H26" s="121" t="n">
        <f aca="false">IF(H$4&lt;1,0,IF(H19&gt;0,0,IF(H$4&lt;=12,Inputs!$B$40,IF(H$4&lt;=18,Inputs!$B$41,0))))</f>
        <v>0</v>
      </c>
      <c r="I26" s="121" t="n">
        <f aca="false">IF(I$4&lt;1,0,IF(I19&gt;0,0,IF(I$4&lt;=12,Inputs!$B$40,IF(I$4&lt;=18,Inputs!$B$41,0))))</f>
        <v>0</v>
      </c>
      <c r="J26" s="121" t="n">
        <f aca="false">IF(J$4&lt;1,0,IF(J19&gt;0,0,IF(J$4&lt;=12,Inputs!$B$40,IF(J$4&lt;=18,Inputs!$B$41,0))))</f>
        <v>0</v>
      </c>
      <c r="K26" s="121" t="n">
        <f aca="false">IF(K$4&lt;1,0,IF(K19&gt;0,0,IF(K$4&lt;=12,Inputs!$B$40,IF(K$4&lt;=18,Inputs!$B$41,0))))</f>
        <v>0</v>
      </c>
      <c r="L26" s="121" t="n">
        <f aca="false">IF(L$4&lt;1,0,IF(L19&gt;0,0,IF(L$4&lt;=12,Inputs!$B$40,IF(L$4&lt;=18,Inputs!$B$41,0))))</f>
        <v>0</v>
      </c>
      <c r="M26" s="121" t="n">
        <f aca="false">IF(M$4&lt;1,0,IF(M19&gt;0,0,IF(M$4&lt;=12,Inputs!$B$40,IF(M$4&lt;=18,Inputs!$B$41,0))))</f>
        <v>0</v>
      </c>
      <c r="N26" s="121" t="n">
        <f aca="false">IF(N$4&lt;1,0,IF(N19&gt;0,0,IF(N$4&lt;=12,Inputs!$B$40,IF(N$4&lt;=18,Inputs!$B$41,0))))</f>
        <v>0</v>
      </c>
      <c r="O26" s="121" t="n">
        <f aca="false">IF(O$4&lt;1,0,IF(O19&gt;0,0,IF(O$4&lt;=12,Inputs!$B$40,IF(O$4&lt;=18,Inputs!$B$41,0))))</f>
        <v>0</v>
      </c>
      <c r="P26" s="121" t="n">
        <f aca="false">IF(P$4&lt;1,0,IF(P19&gt;0,0,IF(P$4&lt;=12,Inputs!$B$40,IF(P$4&lt;=18,Inputs!$B$41,0))))</f>
        <v>0</v>
      </c>
      <c r="Q26" s="121" t="n">
        <f aca="false">IF(Q$4&lt;1,0,IF(Q19&gt;0,0,IF(Q$4&lt;=12,Inputs!$B$40,IF(Q$4&lt;=18,Inputs!$B$41,0))))</f>
        <v>0</v>
      </c>
      <c r="R26" s="121" t="n">
        <f aca="false">IF(R$4&lt;1,0,IF(R19&gt;0,0,IF(R$4&lt;=12,Inputs!$B$40,IF(R$4&lt;=18,Inputs!$B$41,0))))</f>
        <v>0</v>
      </c>
      <c r="S26" s="121" t="n">
        <f aca="false">IF(S$4&lt;1,0,IF(S19&gt;0,0,IF(S$4&lt;=12,Inputs!$B$40,IF(S$4&lt;=18,Inputs!$B$41,0))))</f>
        <v>0</v>
      </c>
      <c r="T26" s="121" t="n">
        <f aca="false">IF(T$4&lt;1,0,IF(T19&gt;0,0,IF(T$4&lt;=12,Inputs!$B$40,IF(T$4&lt;=18,Inputs!$B$41,0))))</f>
        <v>0</v>
      </c>
      <c r="U26" s="121" t="n">
        <f aca="false">IF(U$4&lt;1,0,IF(U19&gt;0,0,IF(U$4&lt;=12,Inputs!$B$40,IF(U$4&lt;=18,Inputs!$B$41,0))))</f>
        <v>0</v>
      </c>
      <c r="V26" s="121" t="n">
        <f aca="false">IF(V$4&lt;1,0,IF(V19&gt;0,0,IF(V$4&lt;=12,Inputs!$B$40,IF(V$4&lt;=18,Inputs!$B$41,0))))</f>
        <v>0</v>
      </c>
    </row>
    <row r="27" customFormat="false" ht="15" hidden="false" customHeight="false" outlineLevel="1" collapsed="false">
      <c r="A27" s="99" t="s">
        <v>939</v>
      </c>
      <c r="C27" s="121" t="n">
        <f aca="false">Inputs!$B$53*(1+Inputs!$B$69)*C$6</f>
        <v>0</v>
      </c>
      <c r="D27" s="121" t="n">
        <f aca="false">Inputs!$B$53*(1+Inputs!$B$69)*D$6</f>
        <v>0</v>
      </c>
      <c r="E27" s="121" t="n">
        <f aca="false">Inputs!$B$53*(1+Inputs!$B$69)*E$6</f>
        <v>0</v>
      </c>
      <c r="F27" s="121" t="n">
        <f aca="false">Inputs!$B$53*(1+Inputs!$B$69)*F$6</f>
        <v>0</v>
      </c>
      <c r="G27" s="121" t="n">
        <f aca="false">Inputs!$B$53*(1+Inputs!$B$69)*G$6</f>
        <v>0</v>
      </c>
      <c r="H27" s="121" t="n">
        <f aca="false">Inputs!$B$53*(1+Inputs!$B$69)*H$6</f>
        <v>0</v>
      </c>
      <c r="I27" s="121" t="n">
        <f aca="false">Inputs!$B$53*(1+Inputs!$B$69)*I$6</f>
        <v>0</v>
      </c>
      <c r="J27" s="121" t="n">
        <f aca="false">Inputs!$B$53*(1+Inputs!$B$69)*J$6</f>
        <v>0</v>
      </c>
      <c r="K27" s="121" t="n">
        <f aca="false">Inputs!$B$53*(1+Inputs!$B$69)*K$6</f>
        <v>0</v>
      </c>
      <c r="L27" s="121" t="n">
        <f aca="false">Inputs!$B$53*(1+Inputs!$B$69)*L$6</f>
        <v>0</v>
      </c>
      <c r="M27" s="121" t="n">
        <f aca="false">Inputs!$B$53*(1+Inputs!$B$69)*M$6</f>
        <v>0</v>
      </c>
      <c r="N27" s="121" t="n">
        <f aca="false">Inputs!$B$53*(1+Inputs!$B$69)*N$6</f>
        <v>0</v>
      </c>
      <c r="O27" s="121" t="n">
        <f aca="false">Inputs!$B$53*(1+Inputs!$B$69)*O$6</f>
        <v>0</v>
      </c>
      <c r="P27" s="121" t="n">
        <f aca="false">Inputs!$B$53*(1+Inputs!$B$69)*P$6</f>
        <v>0</v>
      </c>
      <c r="Q27" s="121" t="n">
        <f aca="false">Inputs!$B$53*(1+Inputs!$B$69)*Q$6</f>
        <v>0</v>
      </c>
      <c r="R27" s="121" t="n">
        <f aca="false">Inputs!$B$53*(1+Inputs!$B$69)*R$6</f>
        <v>0</v>
      </c>
      <c r="S27" s="121" t="n">
        <f aca="false">Inputs!$B$53*(1+Inputs!$B$69)*S$6</f>
        <v>0</v>
      </c>
      <c r="T27" s="121" t="n">
        <f aca="false">Inputs!$B$53*(1+Inputs!$B$69)*T$6</f>
        <v>0</v>
      </c>
      <c r="U27" s="121" t="n">
        <f aca="false">Inputs!$B$53*(1+Inputs!$B$69)*U$6</f>
        <v>0</v>
      </c>
      <c r="V27" s="121" t="n">
        <f aca="false">Inputs!$B$53*(1+Inputs!$B$69)*V$6</f>
        <v>0</v>
      </c>
    </row>
    <row r="28" customFormat="false" ht="15" hidden="false" customHeight="false" outlineLevel="1" collapsed="false">
      <c r="A28" s="99" t="s">
        <v>940</v>
      </c>
      <c r="C28" s="126" t="n">
        <f aca="false">C$9</f>
        <v>0</v>
      </c>
      <c r="D28" s="126" t="n">
        <f aca="false">D$9</f>
        <v>0</v>
      </c>
      <c r="E28" s="126" t="n">
        <f aca="false">E$9</f>
        <v>0</v>
      </c>
      <c r="F28" s="126" t="n">
        <f aca="false">F$9</f>
        <v>0</v>
      </c>
      <c r="G28" s="126" t="n">
        <f aca="false">G$9</f>
        <v>0</v>
      </c>
      <c r="H28" s="126" t="n">
        <f aca="false">H$9</f>
        <v>0</v>
      </c>
      <c r="I28" s="126" t="n">
        <f aca="false">I$9</f>
        <v>0</v>
      </c>
      <c r="J28" s="126" t="n">
        <f aca="false">J$9</f>
        <v>0</v>
      </c>
      <c r="K28" s="126" t="n">
        <f aca="false">K$9</f>
        <v>0</v>
      </c>
      <c r="L28" s="126" t="n">
        <f aca="false">L$9</f>
        <v>0</v>
      </c>
      <c r="M28" s="126" t="n">
        <f aca="false">M$9</f>
        <v>0</v>
      </c>
      <c r="N28" s="126" t="n">
        <f aca="false">N$9</f>
        <v>0</v>
      </c>
      <c r="O28" s="126" t="n">
        <f aca="false">O$9</f>
        <v>0</v>
      </c>
      <c r="P28" s="126" t="n">
        <f aca="false">P$9</f>
        <v>0</v>
      </c>
      <c r="Q28" s="126" t="n">
        <f aca="false">Q$9</f>
        <v>0</v>
      </c>
      <c r="R28" s="126" t="n">
        <f aca="false">R$9</f>
        <v>0</v>
      </c>
      <c r="S28" s="126" t="n">
        <f aca="false">S$9</f>
        <v>0</v>
      </c>
      <c r="T28" s="126" t="n">
        <f aca="false">T$9</f>
        <v>0</v>
      </c>
      <c r="U28" s="126" t="n">
        <f aca="false">U$9</f>
        <v>0</v>
      </c>
      <c r="V28" s="126" t="n">
        <f aca="false">V$9</f>
        <v>0</v>
      </c>
    </row>
    <row r="29" customFormat="false" ht="15" hidden="false" customHeight="false" outlineLevel="1" collapsed="false">
      <c r="A29" s="99" t="s">
        <v>941</v>
      </c>
      <c r="C29" s="126" t="n">
        <f aca="false">C$10</f>
        <v>0</v>
      </c>
      <c r="D29" s="126" t="n">
        <f aca="false">D$10</f>
        <v>0</v>
      </c>
      <c r="E29" s="126" t="n">
        <f aca="false">E$10</f>
        <v>0</v>
      </c>
      <c r="F29" s="126" t="n">
        <f aca="false">F$10</f>
        <v>0</v>
      </c>
      <c r="G29" s="126" t="n">
        <f aca="false">G$10</f>
        <v>0</v>
      </c>
      <c r="H29" s="126" t="n">
        <f aca="false">H$10</f>
        <v>0</v>
      </c>
      <c r="I29" s="126" t="n">
        <f aca="false">I$10</f>
        <v>0</v>
      </c>
      <c r="J29" s="126" t="n">
        <f aca="false">J$10</f>
        <v>0</v>
      </c>
      <c r="K29" s="126" t="n">
        <f aca="false">K$10</f>
        <v>0</v>
      </c>
      <c r="L29" s="126" t="n">
        <f aca="false">L$10</f>
        <v>0</v>
      </c>
      <c r="M29" s="126" t="n">
        <f aca="false">M$10</f>
        <v>0</v>
      </c>
      <c r="N29" s="126" t="n">
        <f aca="false">N$10</f>
        <v>0</v>
      </c>
      <c r="O29" s="126" t="n">
        <f aca="false">O$10</f>
        <v>0</v>
      </c>
      <c r="P29" s="126" t="n">
        <f aca="false">P$10</f>
        <v>0</v>
      </c>
      <c r="Q29" s="126" t="n">
        <f aca="false">Q$10</f>
        <v>0</v>
      </c>
      <c r="R29" s="126" t="n">
        <f aca="false">R$10</f>
        <v>0</v>
      </c>
      <c r="S29" s="126" t="n">
        <f aca="false">S$10</f>
        <v>0</v>
      </c>
      <c r="T29" s="126" t="n">
        <f aca="false">T$10</f>
        <v>0</v>
      </c>
      <c r="U29" s="126" t="n">
        <f aca="false">U$10</f>
        <v>0</v>
      </c>
      <c r="V29" s="126" t="n">
        <f aca="false">V$10</f>
        <v>0</v>
      </c>
    </row>
    <row r="30" customFormat="false" ht="15" hidden="false" customHeight="false" outlineLevel="0" collapsed="false">
      <c r="A30" s="174" t="s">
        <v>942</v>
      </c>
      <c r="C30" s="181" t="n">
        <f aca="false">SUM(C24:C29)</f>
        <v>0</v>
      </c>
      <c r="D30" s="181" t="n">
        <f aca="false">SUM(D24:D29)</f>
        <v>0</v>
      </c>
      <c r="E30" s="181" t="n">
        <f aca="false">SUM(E24:E29)</f>
        <v>0</v>
      </c>
      <c r="F30" s="181" t="n">
        <f aca="false">SUM(F24:F29)</f>
        <v>0</v>
      </c>
      <c r="G30" s="181" t="n">
        <f aca="false">SUM(G24:G29)</f>
        <v>0</v>
      </c>
      <c r="H30" s="181" t="n">
        <f aca="false">SUM(H24:H29)</f>
        <v>0</v>
      </c>
      <c r="I30" s="181" t="n">
        <f aca="false">SUM(I24:I29)</f>
        <v>0</v>
      </c>
      <c r="J30" s="181" t="n">
        <f aca="false">SUM(J24:J29)</f>
        <v>0</v>
      </c>
      <c r="K30" s="181" t="n">
        <f aca="false">SUM(K24:K29)</f>
        <v>0</v>
      </c>
      <c r="L30" s="181" t="n">
        <f aca="false">SUM(L24:L29)</f>
        <v>0</v>
      </c>
      <c r="M30" s="181" t="n">
        <f aca="false">SUM(M24:M29)</f>
        <v>0</v>
      </c>
      <c r="N30" s="181" t="n">
        <f aca="false">SUM(N24:N29)</f>
        <v>0</v>
      </c>
      <c r="O30" s="181" t="n">
        <f aca="false">SUM(O24:O29)</f>
        <v>0</v>
      </c>
      <c r="P30" s="181" t="n">
        <f aca="false">SUM(P24:P29)</f>
        <v>0</v>
      </c>
      <c r="Q30" s="181" t="n">
        <f aca="false">SUM(Q24:Q29)</f>
        <v>0</v>
      </c>
      <c r="R30" s="181" t="n">
        <f aca="false">SUM(R24:R29)</f>
        <v>0</v>
      </c>
      <c r="S30" s="181" t="n">
        <f aca="false">SUM(S24:S29)</f>
        <v>0</v>
      </c>
      <c r="T30" s="181" t="n">
        <f aca="false">SUM(T24:T29)</f>
        <v>0</v>
      </c>
      <c r="U30" s="181" t="n">
        <f aca="false">SUM(U24:U29)</f>
        <v>0</v>
      </c>
      <c r="V30" s="181" t="n">
        <f aca="false">SUM(V24:V29)</f>
        <v>0</v>
      </c>
    </row>
    <row r="31" customFormat="false" ht="15" hidden="false" customHeight="false" outlineLevel="0" collapsed="false">
      <c r="A31" s="174" t="s">
        <v>943</v>
      </c>
      <c r="C31" s="181" t="n">
        <f aca="false">C22-C30</f>
        <v>0</v>
      </c>
      <c r="D31" s="181" t="n">
        <f aca="false">D22-D30</f>
        <v>0</v>
      </c>
      <c r="E31" s="181" t="n">
        <f aca="false">E22-E30</f>
        <v>0</v>
      </c>
      <c r="F31" s="181" t="n">
        <f aca="false">F22-F30</f>
        <v>0</v>
      </c>
      <c r="G31" s="181" t="n">
        <f aca="false">G22-G30</f>
        <v>0</v>
      </c>
      <c r="H31" s="181" t="n">
        <f aca="false">H22-H30</f>
        <v>0</v>
      </c>
      <c r="I31" s="181" t="n">
        <f aca="false">I22-I30</f>
        <v>0</v>
      </c>
      <c r="J31" s="181" t="n">
        <f aca="false">J22-J30</f>
        <v>0</v>
      </c>
      <c r="K31" s="181" t="n">
        <f aca="false">K22-K30</f>
        <v>0</v>
      </c>
      <c r="L31" s="181" t="n">
        <f aca="false">L22-L30</f>
        <v>0</v>
      </c>
      <c r="M31" s="181" t="n">
        <f aca="false">M22-M30</f>
        <v>0</v>
      </c>
      <c r="N31" s="181" t="n">
        <f aca="false">N22-N30</f>
        <v>0</v>
      </c>
      <c r="O31" s="181" t="n">
        <f aca="false">O22-O30</f>
        <v>0</v>
      </c>
      <c r="P31" s="181" t="n">
        <f aca="false">P22-P30</f>
        <v>0</v>
      </c>
      <c r="Q31" s="181" t="n">
        <f aca="false">Q22-Q30</f>
        <v>0</v>
      </c>
      <c r="R31" s="181" t="n">
        <f aca="false">R22-R30</f>
        <v>0</v>
      </c>
      <c r="S31" s="181" t="n">
        <f aca="false">S22-S30</f>
        <v>0</v>
      </c>
      <c r="T31" s="181" t="n">
        <f aca="false">T22-T30</f>
        <v>0</v>
      </c>
      <c r="U31" s="181" t="n">
        <f aca="false">U22-U30</f>
        <v>0</v>
      </c>
      <c r="V31" s="181" t="n">
        <f aca="false">V22-V30</f>
        <v>0</v>
      </c>
    </row>
    <row r="32" customFormat="false" ht="15" hidden="false" customHeight="false" outlineLevel="0" collapsed="false">
      <c r="A32" s="151" t="s">
        <v>944</v>
      </c>
      <c r="C32" s="152" t="n">
        <f aca="false">Inputs!$B$8+C31</f>
        <v>0</v>
      </c>
      <c r="D32" s="152" t="n">
        <f aca="false">C32+D31</f>
        <v>0</v>
      </c>
      <c r="E32" s="152" t="n">
        <f aca="false">D32+E31</f>
        <v>0</v>
      </c>
      <c r="F32" s="152" t="n">
        <f aca="false">E32+F31</f>
        <v>0</v>
      </c>
      <c r="G32" s="152" t="n">
        <f aca="false">F32+G31</f>
        <v>0</v>
      </c>
      <c r="H32" s="152" t="n">
        <f aca="false">G32+H31</f>
        <v>0</v>
      </c>
      <c r="I32" s="152" t="n">
        <f aca="false">H32+I31</f>
        <v>0</v>
      </c>
      <c r="J32" s="152" t="n">
        <f aca="false">I32+J31</f>
        <v>0</v>
      </c>
      <c r="K32" s="152" t="n">
        <f aca="false">J32+K31</f>
        <v>0</v>
      </c>
      <c r="L32" s="152" t="n">
        <f aca="false">K32+L31</f>
        <v>0</v>
      </c>
      <c r="M32" s="152" t="n">
        <f aca="false">L32+M31</f>
        <v>0</v>
      </c>
      <c r="N32" s="152" t="n">
        <f aca="false">M32+N31</f>
        <v>0</v>
      </c>
      <c r="O32" s="152" t="n">
        <f aca="false">N32+O31</f>
        <v>0</v>
      </c>
      <c r="P32" s="152" t="n">
        <f aca="false">O32+P31</f>
        <v>0</v>
      </c>
      <c r="Q32" s="152" t="n">
        <f aca="false">P32+Q31</f>
        <v>0</v>
      </c>
      <c r="R32" s="152" t="n">
        <f aca="false">Q32+R31</f>
        <v>0</v>
      </c>
      <c r="S32" s="152" t="n">
        <f aca="false">R32+S31</f>
        <v>0</v>
      </c>
      <c r="T32" s="152" t="n">
        <f aca="false">S32+T31</f>
        <v>0</v>
      </c>
      <c r="U32" s="152" t="n">
        <f aca="false">T32+U31</f>
        <v>0</v>
      </c>
      <c r="V32" s="152" t="n">
        <f aca="false">U32+V31</f>
        <v>0</v>
      </c>
    </row>
    <row r="34" customFormat="false" ht="15" hidden="false" customHeight="false" outlineLevel="0" collapsed="false">
      <c r="A34" s="178" t="str">
        <f aca="false">"LIKELY CASE — "&amp;IF(Inputs!$C$62&gt;0,"new income from "&amp;TEXT(EDATE(DATE(YEAR(Inputs!$B$6),MONTH(Inputs!$B$6),1),Inputs!$C$62),"mmm yyyy")&amp;" at "&amp;TEXT(Inputs!$C$63,"#,##0")&amp;"/yr","no new income in the first 12 months")</f>
        <v>LIKELY CASE — new income from Apr 2047 at 0/yr</v>
      </c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</row>
    <row r="35" customFormat="false" ht="15" hidden="false" customHeight="false" outlineLevel="0" collapsed="false">
      <c r="A35" s="180" t="s">
        <v>928</v>
      </c>
    </row>
    <row r="36" customFormat="false" ht="15" hidden="false" customHeight="false" outlineLevel="1" collapsed="false">
      <c r="A36" s="99" t="s">
        <v>929</v>
      </c>
      <c r="C36" s="121" t="n">
        <f aca="false">C$5*Inputs!$B$14</f>
        <v>0</v>
      </c>
      <c r="D36" s="121" t="n">
        <f aca="false">D$5*Inputs!$B$14</f>
        <v>0</v>
      </c>
      <c r="E36" s="121" t="n">
        <f aca="false">E$5*Inputs!$B$14</f>
        <v>0</v>
      </c>
      <c r="F36" s="121" t="n">
        <f aca="false">F$5*Inputs!$B$14</f>
        <v>0</v>
      </c>
      <c r="G36" s="121" t="n">
        <f aca="false">G$5*Inputs!$B$14</f>
        <v>0</v>
      </c>
      <c r="H36" s="121" t="n">
        <f aca="false">H$5*Inputs!$B$14</f>
        <v>0</v>
      </c>
      <c r="I36" s="121" t="n">
        <f aca="false">I$5*Inputs!$B$14</f>
        <v>0</v>
      </c>
      <c r="J36" s="121" t="n">
        <f aca="false">J$5*Inputs!$B$14</f>
        <v>0</v>
      </c>
      <c r="K36" s="121" t="n">
        <f aca="false">K$5*Inputs!$B$14</f>
        <v>0</v>
      </c>
      <c r="L36" s="121" t="n">
        <f aca="false">L$5*Inputs!$B$14</f>
        <v>0</v>
      </c>
      <c r="M36" s="121" t="n">
        <f aca="false">M$5*Inputs!$B$14</f>
        <v>0</v>
      </c>
      <c r="N36" s="121" t="n">
        <f aca="false">N$5*Inputs!$B$14</f>
        <v>0</v>
      </c>
      <c r="O36" s="121" t="n">
        <f aca="false">O$5*Inputs!$B$14</f>
        <v>0</v>
      </c>
      <c r="P36" s="121" t="n">
        <f aca="false">P$5*Inputs!$B$14</f>
        <v>0</v>
      </c>
      <c r="Q36" s="121" t="n">
        <f aca="false">Q$5*Inputs!$B$14</f>
        <v>0</v>
      </c>
      <c r="R36" s="121" t="n">
        <f aca="false">R$5*Inputs!$B$14</f>
        <v>0</v>
      </c>
      <c r="S36" s="121" t="n">
        <f aca="false">S$5*Inputs!$B$14</f>
        <v>0</v>
      </c>
      <c r="T36" s="121" t="n">
        <f aca="false">T$5*Inputs!$B$14</f>
        <v>0</v>
      </c>
      <c r="U36" s="121" t="n">
        <f aca="false">U$5*Inputs!$B$14</f>
        <v>0</v>
      </c>
      <c r="V36" s="121" t="n">
        <f aca="false">V$5*Inputs!$B$14</f>
        <v>0</v>
      </c>
    </row>
    <row r="37" customFormat="false" ht="15" hidden="false" customHeight="false" outlineLevel="1" collapsed="false">
      <c r="A37" s="99" t="s">
        <v>930</v>
      </c>
      <c r="C37" s="121" t="n">
        <f aca="false">IF(AND(YEAR(C$3)=YEAR(Inputs!$B$21),MONTH(C$3)=MONTH(Inputs!$B$21)),Inputs!$B$22,0)</f>
        <v>0</v>
      </c>
      <c r="D37" s="121" t="n">
        <f aca="false">IF(AND(YEAR(D$3)=YEAR(Inputs!$B$21),MONTH(D$3)=MONTH(Inputs!$B$21)),Inputs!$B$22,0)</f>
        <v>0</v>
      </c>
      <c r="E37" s="121" t="n">
        <f aca="false">IF(AND(YEAR(E$3)=YEAR(Inputs!$B$21),MONTH(E$3)=MONTH(Inputs!$B$21)),Inputs!$B$22,0)</f>
        <v>0</v>
      </c>
      <c r="F37" s="121" t="n">
        <f aca="false">IF(AND(YEAR(F$3)=YEAR(Inputs!$B$21),MONTH(F$3)=MONTH(Inputs!$B$21)),Inputs!$B$22,0)</f>
        <v>0</v>
      </c>
      <c r="G37" s="121" t="n">
        <f aca="false">IF(AND(YEAR(G$3)=YEAR(Inputs!$B$21),MONTH(G$3)=MONTH(Inputs!$B$21)),Inputs!$B$22,0)</f>
        <v>0</v>
      </c>
      <c r="H37" s="121" t="n">
        <f aca="false">IF(AND(YEAR(H$3)=YEAR(Inputs!$B$21),MONTH(H$3)=MONTH(Inputs!$B$21)),Inputs!$B$22,0)</f>
        <v>0</v>
      </c>
      <c r="I37" s="121" t="n">
        <f aca="false">IF(AND(YEAR(I$3)=YEAR(Inputs!$B$21),MONTH(I$3)=MONTH(Inputs!$B$21)),Inputs!$B$22,0)</f>
        <v>0</v>
      </c>
      <c r="J37" s="121" t="n">
        <f aca="false">IF(AND(YEAR(J$3)=YEAR(Inputs!$B$21),MONTH(J$3)=MONTH(Inputs!$B$21)),Inputs!$B$22,0)</f>
        <v>0</v>
      </c>
      <c r="K37" s="121" t="n">
        <f aca="false">IF(AND(YEAR(K$3)=YEAR(Inputs!$B$21),MONTH(K$3)=MONTH(Inputs!$B$21)),Inputs!$B$22,0)</f>
        <v>0</v>
      </c>
      <c r="L37" s="121" t="n">
        <f aca="false">IF(AND(YEAR(L$3)=YEAR(Inputs!$B$21),MONTH(L$3)=MONTH(Inputs!$B$21)),Inputs!$B$22,0)</f>
        <v>0</v>
      </c>
      <c r="M37" s="121" t="n">
        <f aca="false">IF(AND(YEAR(M$3)=YEAR(Inputs!$B$21),MONTH(M$3)=MONTH(Inputs!$B$21)),Inputs!$B$22,0)</f>
        <v>0</v>
      </c>
      <c r="N37" s="121" t="n">
        <f aca="false">IF(AND(YEAR(N$3)=YEAR(Inputs!$B$21),MONTH(N$3)=MONTH(Inputs!$B$21)),Inputs!$B$22,0)</f>
        <v>0</v>
      </c>
      <c r="O37" s="121" t="n">
        <f aca="false">IF(AND(YEAR(O$3)=YEAR(Inputs!$B$21),MONTH(O$3)=MONTH(Inputs!$B$21)),Inputs!$B$22,0)</f>
        <v>0</v>
      </c>
      <c r="P37" s="121" t="n">
        <f aca="false">IF(AND(YEAR(P$3)=YEAR(Inputs!$B$21),MONTH(P$3)=MONTH(Inputs!$B$21)),Inputs!$B$22,0)</f>
        <v>0</v>
      </c>
      <c r="Q37" s="121" t="n">
        <f aca="false">IF(AND(YEAR(Q$3)=YEAR(Inputs!$B$21),MONTH(Q$3)=MONTH(Inputs!$B$21)),Inputs!$B$22,0)</f>
        <v>0</v>
      </c>
      <c r="R37" s="121" t="n">
        <f aca="false">IF(AND(YEAR(R$3)=YEAR(Inputs!$B$21),MONTH(R$3)=MONTH(Inputs!$B$21)),Inputs!$B$22,0)</f>
        <v>0</v>
      </c>
      <c r="S37" s="121" t="n">
        <f aca="false">IF(AND(YEAR(S$3)=YEAR(Inputs!$B$21),MONTH(S$3)=MONTH(Inputs!$B$21)),Inputs!$B$22,0)</f>
        <v>0</v>
      </c>
      <c r="T37" s="121" t="n">
        <f aca="false">IF(AND(YEAR(T$3)=YEAR(Inputs!$B$21),MONTH(T$3)=MONTH(Inputs!$B$21)),Inputs!$B$22,0)</f>
        <v>0</v>
      </c>
      <c r="U37" s="121" t="n">
        <f aca="false">IF(AND(YEAR(U$3)=YEAR(Inputs!$B$21),MONTH(U$3)=MONTH(Inputs!$B$21)),Inputs!$B$22,0)</f>
        <v>0</v>
      </c>
      <c r="V37" s="121" t="n">
        <f aca="false">IF(AND(YEAR(V$3)=YEAR(Inputs!$B$21),MONTH(V$3)=MONTH(Inputs!$B$21)),Inputs!$B$22,0)</f>
        <v>0</v>
      </c>
    </row>
    <row r="38" customFormat="false" ht="15" hidden="false" customHeight="false" outlineLevel="1" collapsed="false">
      <c r="A38" s="99" t="s">
        <v>931</v>
      </c>
      <c r="C38" s="121" t="n">
        <f aca="false">IF(AND(C$3&gt;=Inputs!$B$25,C$3&lt;EDATE(Inputs!$B$25,Inputs!$B$26)),Inputs!$B$27/Inputs!$B$26,0)</f>
        <v>0</v>
      </c>
      <c r="D38" s="121" t="n">
        <f aca="false">IF(AND(D$3&gt;=Inputs!$B$25,D$3&lt;EDATE(Inputs!$B$25,Inputs!$B$26)),Inputs!$B$27/Inputs!$B$26,0)</f>
        <v>0</v>
      </c>
      <c r="E38" s="121" t="n">
        <f aca="false">IF(AND(E$3&gt;=Inputs!$B$25,E$3&lt;EDATE(Inputs!$B$25,Inputs!$B$26)),Inputs!$B$27/Inputs!$B$26,0)</f>
        <v>0</v>
      </c>
      <c r="F38" s="121" t="n">
        <f aca="false">IF(AND(F$3&gt;=Inputs!$B$25,F$3&lt;EDATE(Inputs!$B$25,Inputs!$B$26)),Inputs!$B$27/Inputs!$B$26,0)</f>
        <v>0</v>
      </c>
      <c r="G38" s="121" t="n">
        <f aca="false">IF(AND(G$3&gt;=Inputs!$B$25,G$3&lt;EDATE(Inputs!$B$25,Inputs!$B$26)),Inputs!$B$27/Inputs!$B$26,0)</f>
        <v>0</v>
      </c>
      <c r="H38" s="121" t="n">
        <f aca="false">IF(AND(H$3&gt;=Inputs!$B$25,H$3&lt;EDATE(Inputs!$B$25,Inputs!$B$26)),Inputs!$B$27/Inputs!$B$26,0)</f>
        <v>0</v>
      </c>
      <c r="I38" s="121" t="n">
        <f aca="false">IF(AND(I$3&gt;=Inputs!$B$25,I$3&lt;EDATE(Inputs!$B$25,Inputs!$B$26)),Inputs!$B$27/Inputs!$B$26,0)</f>
        <v>0</v>
      </c>
      <c r="J38" s="121" t="n">
        <f aca="false">IF(AND(J$3&gt;=Inputs!$B$25,J$3&lt;EDATE(Inputs!$B$25,Inputs!$B$26)),Inputs!$B$27/Inputs!$B$26,0)</f>
        <v>0</v>
      </c>
      <c r="K38" s="121" t="n">
        <f aca="false">IF(AND(K$3&gt;=Inputs!$B$25,K$3&lt;EDATE(Inputs!$B$25,Inputs!$B$26)),Inputs!$B$27/Inputs!$B$26,0)</f>
        <v>0</v>
      </c>
      <c r="L38" s="121" t="n">
        <f aca="false">IF(AND(L$3&gt;=Inputs!$B$25,L$3&lt;EDATE(Inputs!$B$25,Inputs!$B$26)),Inputs!$B$27/Inputs!$B$26,0)</f>
        <v>0</v>
      </c>
      <c r="M38" s="121" t="n">
        <f aca="false">IF(AND(M$3&gt;=Inputs!$B$25,M$3&lt;EDATE(Inputs!$B$25,Inputs!$B$26)),Inputs!$B$27/Inputs!$B$26,0)</f>
        <v>0</v>
      </c>
      <c r="N38" s="121" t="n">
        <f aca="false">IF(AND(N$3&gt;=Inputs!$B$25,N$3&lt;EDATE(Inputs!$B$25,Inputs!$B$26)),Inputs!$B$27/Inputs!$B$26,0)</f>
        <v>0</v>
      </c>
      <c r="O38" s="121" t="n">
        <f aca="false">IF(AND(O$3&gt;=Inputs!$B$25,O$3&lt;EDATE(Inputs!$B$25,Inputs!$B$26)),Inputs!$B$27/Inputs!$B$26,0)</f>
        <v>0</v>
      </c>
      <c r="P38" s="121" t="n">
        <f aca="false">IF(AND(P$3&gt;=Inputs!$B$25,P$3&lt;EDATE(Inputs!$B$25,Inputs!$B$26)),Inputs!$B$27/Inputs!$B$26,0)</f>
        <v>0</v>
      </c>
      <c r="Q38" s="121" t="n">
        <f aca="false">IF(AND(Q$3&gt;=Inputs!$B$25,Q$3&lt;EDATE(Inputs!$B$25,Inputs!$B$26)),Inputs!$B$27/Inputs!$B$26,0)</f>
        <v>0</v>
      </c>
      <c r="R38" s="121" t="n">
        <f aca="false">IF(AND(R$3&gt;=Inputs!$B$25,R$3&lt;EDATE(Inputs!$B$25,Inputs!$B$26)),Inputs!$B$27/Inputs!$B$26,0)</f>
        <v>0</v>
      </c>
      <c r="S38" s="121" t="n">
        <f aca="false">IF(AND(S$3&gt;=Inputs!$B$25,S$3&lt;EDATE(Inputs!$B$25,Inputs!$B$26)),Inputs!$B$27/Inputs!$B$26,0)</f>
        <v>0</v>
      </c>
      <c r="T38" s="121" t="n">
        <f aca="false">IF(AND(T$3&gt;=Inputs!$B$25,T$3&lt;EDATE(Inputs!$B$25,Inputs!$B$26)),Inputs!$B$27/Inputs!$B$26,0)</f>
        <v>0</v>
      </c>
      <c r="U38" s="121" t="n">
        <f aca="false">IF(AND(U$3&gt;=Inputs!$B$25,U$3&lt;EDATE(Inputs!$B$25,Inputs!$B$26)),Inputs!$B$27/Inputs!$B$26,0)</f>
        <v>0</v>
      </c>
      <c r="V38" s="121" t="n">
        <f aca="false">IF(AND(V$3&gt;=Inputs!$B$25,V$3&lt;EDATE(Inputs!$B$25,Inputs!$B$26)),Inputs!$B$27/Inputs!$B$26,0)</f>
        <v>0</v>
      </c>
    </row>
    <row r="39" customFormat="false" ht="15" hidden="false" customHeight="false" outlineLevel="1" collapsed="false">
      <c r="A39" s="99" t="s">
        <v>320</v>
      </c>
      <c r="C39" s="121" t="n">
        <f aca="false">IF(OR(C40&gt;0,C$3&lt;Inputs!$B$31),0,Inputs!$B$32*MAX(0,MIN(1,Inputs!$B$29*12/52-((YEAR(C$3)-YEAR(Inputs!$B$31))*12+MONTH(C$3)-MONTH(Inputs!$B$31)))))</f>
        <v>0</v>
      </c>
      <c r="D39" s="121" t="n">
        <f aca="false">IF(OR(D40&gt;0,D$3&lt;Inputs!$B$31),0,Inputs!$B$32*MAX(0,MIN(1,Inputs!$B$29*12/52-((YEAR(D$3)-YEAR(Inputs!$B$31))*12+MONTH(D$3)-MONTH(Inputs!$B$31)))))</f>
        <v>0</v>
      </c>
      <c r="E39" s="121" t="n">
        <f aca="false">IF(OR(E40&gt;0,E$3&lt;Inputs!$B$31),0,Inputs!$B$32*MAX(0,MIN(1,Inputs!$B$29*12/52-((YEAR(E$3)-YEAR(Inputs!$B$31))*12+MONTH(E$3)-MONTH(Inputs!$B$31)))))</f>
        <v>0</v>
      </c>
      <c r="F39" s="121" t="n">
        <f aca="false">IF(OR(F40&gt;0,F$3&lt;Inputs!$B$31),0,Inputs!$B$32*MAX(0,MIN(1,Inputs!$B$29*12/52-((YEAR(F$3)-YEAR(Inputs!$B$31))*12+MONTH(F$3)-MONTH(Inputs!$B$31)))))</f>
        <v>0</v>
      </c>
      <c r="G39" s="121" t="n">
        <f aca="false">IF(OR(G40&gt;0,G$3&lt;Inputs!$B$31),0,Inputs!$B$32*MAX(0,MIN(1,Inputs!$B$29*12/52-((YEAR(G$3)-YEAR(Inputs!$B$31))*12+MONTH(G$3)-MONTH(Inputs!$B$31)))))</f>
        <v>0</v>
      </c>
      <c r="H39" s="121" t="n">
        <f aca="false">IF(OR(H40&gt;0,H$3&lt;Inputs!$B$31),0,Inputs!$B$32*MAX(0,MIN(1,Inputs!$B$29*12/52-((YEAR(H$3)-YEAR(Inputs!$B$31))*12+MONTH(H$3)-MONTH(Inputs!$B$31)))))</f>
        <v>0</v>
      </c>
      <c r="I39" s="121" t="n">
        <f aca="false">IF(OR(I40&gt;0,I$3&lt;Inputs!$B$31),0,Inputs!$B$32*MAX(0,MIN(1,Inputs!$B$29*12/52-((YEAR(I$3)-YEAR(Inputs!$B$31))*12+MONTH(I$3)-MONTH(Inputs!$B$31)))))</f>
        <v>0</v>
      </c>
      <c r="J39" s="121" t="n">
        <f aca="false">IF(OR(J40&gt;0,J$3&lt;Inputs!$B$31),0,Inputs!$B$32*MAX(0,MIN(1,Inputs!$B$29*12/52-((YEAR(J$3)-YEAR(Inputs!$B$31))*12+MONTH(J$3)-MONTH(Inputs!$B$31)))))</f>
        <v>0</v>
      </c>
      <c r="K39" s="121" t="n">
        <f aca="false">IF(OR(K40&gt;0,K$3&lt;Inputs!$B$31),0,Inputs!$B$32*MAX(0,MIN(1,Inputs!$B$29*12/52-((YEAR(K$3)-YEAR(Inputs!$B$31))*12+MONTH(K$3)-MONTH(Inputs!$B$31)))))</f>
        <v>0</v>
      </c>
      <c r="L39" s="121" t="n">
        <f aca="false">IF(OR(L40&gt;0,L$3&lt;Inputs!$B$31),0,Inputs!$B$32*MAX(0,MIN(1,Inputs!$B$29*12/52-((YEAR(L$3)-YEAR(Inputs!$B$31))*12+MONTH(L$3)-MONTH(Inputs!$B$31)))))</f>
        <v>0</v>
      </c>
      <c r="M39" s="121" t="n">
        <f aca="false">IF(OR(M40&gt;0,M$3&lt;Inputs!$B$31),0,Inputs!$B$32*MAX(0,MIN(1,Inputs!$B$29*12/52-((YEAR(M$3)-YEAR(Inputs!$B$31))*12+MONTH(M$3)-MONTH(Inputs!$B$31)))))</f>
        <v>0</v>
      </c>
      <c r="N39" s="121" t="n">
        <f aca="false">IF(OR(N40&gt;0,N$3&lt;Inputs!$B$31),0,Inputs!$B$32*MAX(0,MIN(1,Inputs!$B$29*12/52-((YEAR(N$3)-YEAR(Inputs!$B$31))*12+MONTH(N$3)-MONTH(Inputs!$B$31)))))</f>
        <v>0</v>
      </c>
      <c r="O39" s="121" t="n">
        <f aca="false">IF(OR(O40&gt;0,O$3&lt;Inputs!$B$31),0,Inputs!$B$32*MAX(0,MIN(1,Inputs!$B$29*12/52-((YEAR(O$3)-YEAR(Inputs!$B$31))*12+MONTH(O$3)-MONTH(Inputs!$B$31)))))</f>
        <v>0</v>
      </c>
      <c r="P39" s="121" t="n">
        <f aca="false">IF(OR(P40&gt;0,P$3&lt;Inputs!$B$31),0,Inputs!$B$32*MAX(0,MIN(1,Inputs!$B$29*12/52-((YEAR(P$3)-YEAR(Inputs!$B$31))*12+MONTH(P$3)-MONTH(Inputs!$B$31)))))</f>
        <v>0</v>
      </c>
      <c r="Q39" s="121" t="n">
        <f aca="false">IF(OR(Q40&gt;0,Q$3&lt;Inputs!$B$31),0,Inputs!$B$32*MAX(0,MIN(1,Inputs!$B$29*12/52-((YEAR(Q$3)-YEAR(Inputs!$B$31))*12+MONTH(Q$3)-MONTH(Inputs!$B$31)))))</f>
        <v>0</v>
      </c>
      <c r="R39" s="121" t="n">
        <f aca="false">IF(OR(R40&gt;0,R$3&lt;Inputs!$B$31),0,Inputs!$B$32*MAX(0,MIN(1,Inputs!$B$29*12/52-((YEAR(R$3)-YEAR(Inputs!$B$31))*12+MONTH(R$3)-MONTH(Inputs!$B$31)))))</f>
        <v>0</v>
      </c>
      <c r="S39" s="121" t="n">
        <f aca="false">IF(OR(S40&gt;0,S$3&lt;Inputs!$B$31),0,Inputs!$B$32*MAX(0,MIN(1,Inputs!$B$29*12/52-((YEAR(S$3)-YEAR(Inputs!$B$31))*12+MONTH(S$3)-MONTH(Inputs!$B$31)))))</f>
        <v>0</v>
      </c>
      <c r="T39" s="121" t="n">
        <f aca="false">IF(OR(T40&gt;0,T$3&lt;Inputs!$B$31),0,Inputs!$B$32*MAX(0,MIN(1,Inputs!$B$29*12/52-((YEAR(T$3)-YEAR(Inputs!$B$31))*12+MONTH(T$3)-MONTH(Inputs!$B$31)))))</f>
        <v>0</v>
      </c>
      <c r="U39" s="121" t="n">
        <f aca="false">IF(OR(U40&gt;0,U$3&lt;Inputs!$B$31),0,Inputs!$B$32*MAX(0,MIN(1,Inputs!$B$29*12/52-((YEAR(U$3)-YEAR(Inputs!$B$31))*12+MONTH(U$3)-MONTH(Inputs!$B$31)))))</f>
        <v>0</v>
      </c>
      <c r="V39" s="121" t="n">
        <f aca="false">IF(OR(V40&gt;0,V$3&lt;Inputs!$B$31),0,Inputs!$B$32*MAX(0,MIN(1,Inputs!$B$29*12/52-((YEAR(V$3)-YEAR(Inputs!$B$31))*12+MONTH(V$3)-MONTH(Inputs!$B$31)))))</f>
        <v>0</v>
      </c>
    </row>
    <row r="40" customFormat="false" ht="15" hidden="false" customHeight="false" outlineLevel="1" collapsed="false">
      <c r="A40" s="99" t="s">
        <v>932</v>
      </c>
      <c r="C40" s="121" t="n">
        <f aca="false">IF(AND(N(Inputs!$C$62)&gt;0,C$4&gt;=Inputs!$C$62),N(Inputs!$C$63)*Inputs!$C$64/12,0)</f>
        <v>0</v>
      </c>
      <c r="D40" s="121" t="n">
        <f aca="false">IF(AND(N(Inputs!$C$62)&gt;0,D$4&gt;=Inputs!$C$62),N(Inputs!$C$63)*Inputs!$C$64/12,0)</f>
        <v>0</v>
      </c>
      <c r="E40" s="121" t="n">
        <f aca="false">IF(AND(N(Inputs!$C$62)&gt;0,E$4&gt;=Inputs!$C$62),N(Inputs!$C$63)*Inputs!$C$64/12,0)</f>
        <v>0</v>
      </c>
      <c r="F40" s="121" t="n">
        <f aca="false">IF(AND(N(Inputs!$C$62)&gt;0,F$4&gt;=Inputs!$C$62),N(Inputs!$C$63)*Inputs!$C$64/12,0)</f>
        <v>0</v>
      </c>
      <c r="G40" s="121" t="n">
        <f aca="false">IF(AND(N(Inputs!$C$62)&gt;0,G$4&gt;=Inputs!$C$62),N(Inputs!$C$63)*Inputs!$C$64/12,0)</f>
        <v>0</v>
      </c>
      <c r="H40" s="121" t="n">
        <f aca="false">IF(AND(N(Inputs!$C$62)&gt;0,H$4&gt;=Inputs!$C$62),N(Inputs!$C$63)*Inputs!$C$64/12,0)</f>
        <v>0</v>
      </c>
      <c r="I40" s="121" t="n">
        <f aca="false">IF(AND(N(Inputs!$C$62)&gt;0,I$4&gt;=Inputs!$C$62),N(Inputs!$C$63)*Inputs!$C$64/12,0)</f>
        <v>0</v>
      </c>
      <c r="J40" s="121" t="n">
        <f aca="false">IF(AND(N(Inputs!$C$62)&gt;0,J$4&gt;=Inputs!$C$62),N(Inputs!$C$63)*Inputs!$C$64/12,0)</f>
        <v>0</v>
      </c>
      <c r="K40" s="121" t="n">
        <f aca="false">IF(AND(N(Inputs!$C$62)&gt;0,K$4&gt;=Inputs!$C$62),N(Inputs!$C$63)*Inputs!$C$64/12,0)</f>
        <v>0</v>
      </c>
      <c r="L40" s="121" t="n">
        <f aca="false">IF(AND(N(Inputs!$C$62)&gt;0,L$4&gt;=Inputs!$C$62),N(Inputs!$C$63)*Inputs!$C$64/12,0)</f>
        <v>0</v>
      </c>
      <c r="M40" s="121" t="n">
        <f aca="false">IF(AND(N(Inputs!$C$62)&gt;0,M$4&gt;=Inputs!$C$62),N(Inputs!$C$63)*Inputs!$C$64/12,0)</f>
        <v>0</v>
      </c>
      <c r="N40" s="121" t="n">
        <f aca="false">IF(AND(N(Inputs!$C$62)&gt;0,N$4&gt;=Inputs!$C$62),N(Inputs!$C$63)*Inputs!$C$64/12,0)</f>
        <v>0</v>
      </c>
      <c r="O40" s="121" t="n">
        <f aca="false">IF(AND(N(Inputs!$C$62)&gt;0,O$4&gt;=Inputs!$C$62),N(Inputs!$C$63)*Inputs!$C$64/12,0)</f>
        <v>0</v>
      </c>
      <c r="P40" s="121" t="n">
        <f aca="false">IF(AND(N(Inputs!$C$62)&gt;0,P$4&gt;=Inputs!$C$62),N(Inputs!$C$63)*Inputs!$C$64/12,0)</f>
        <v>0</v>
      </c>
      <c r="Q40" s="121" t="n">
        <f aca="false">IF(AND(N(Inputs!$C$62)&gt;0,Q$4&gt;=Inputs!$C$62),N(Inputs!$C$63)*Inputs!$C$64/12,0)</f>
        <v>0</v>
      </c>
      <c r="R40" s="121" t="n">
        <f aca="false">IF(AND(N(Inputs!$C$62)&gt;0,R$4&gt;=Inputs!$C$62),N(Inputs!$C$63)*Inputs!$C$64/12,0)</f>
        <v>0</v>
      </c>
      <c r="S40" s="121" t="n">
        <f aca="false">IF(AND(N(Inputs!$C$62)&gt;0,S$4&gt;=Inputs!$C$62),N(Inputs!$C$63)*Inputs!$C$64/12,0)</f>
        <v>0</v>
      </c>
      <c r="T40" s="121" t="n">
        <f aca="false">IF(AND(N(Inputs!$C$62)&gt;0,T$4&gt;=Inputs!$C$62),N(Inputs!$C$63)*Inputs!$C$64/12,0)</f>
        <v>0</v>
      </c>
      <c r="U40" s="121" t="n">
        <f aca="false">IF(AND(N(Inputs!$C$62)&gt;0,U$4&gt;=Inputs!$C$62),N(Inputs!$C$63)*Inputs!$C$64/12,0)</f>
        <v>0</v>
      </c>
      <c r="V40" s="121" t="n">
        <f aca="false">IF(AND(N(Inputs!$C$62)&gt;0,V$4&gt;=Inputs!$C$62),N(Inputs!$C$63)*Inputs!$C$64/12,0)</f>
        <v>0</v>
      </c>
    </row>
    <row r="41" customFormat="false" ht="15" hidden="false" customHeight="false" outlineLevel="1" collapsed="false">
      <c r="A41" s="99" t="s">
        <v>312</v>
      </c>
      <c r="C41" s="121" t="n">
        <f aca="false">Inputs!$B$44*C$7+Inputs!$B$46*C$8+IF(AND(Inputs!$C$65&lt;&gt;"",C$3&gt;=Inputs!$C$65),Inputs!$B$49*Inputs!$C$66*52/12*Inputs!$B$50,0)</f>
        <v>0</v>
      </c>
      <c r="D41" s="121" t="n">
        <f aca="false">Inputs!$B$44*D$7+Inputs!$B$46*D$8+IF(AND(Inputs!$C$65&lt;&gt;"",D$3&gt;=Inputs!$C$65),Inputs!$B$49*Inputs!$C$66*52/12*Inputs!$B$50,0)</f>
        <v>0</v>
      </c>
      <c r="E41" s="121" t="n">
        <f aca="false">Inputs!$B$44*E$7+Inputs!$B$46*E$8+IF(AND(Inputs!$C$65&lt;&gt;"",E$3&gt;=Inputs!$C$65),Inputs!$B$49*Inputs!$C$66*52/12*Inputs!$B$50,0)</f>
        <v>0</v>
      </c>
      <c r="F41" s="121" t="n">
        <f aca="false">Inputs!$B$44*F$7+Inputs!$B$46*F$8+IF(AND(Inputs!$C$65&lt;&gt;"",F$3&gt;=Inputs!$C$65),Inputs!$B$49*Inputs!$C$66*52/12*Inputs!$B$50,0)</f>
        <v>0</v>
      </c>
      <c r="G41" s="121" t="n">
        <f aca="false">Inputs!$B$44*G$7+Inputs!$B$46*G$8+IF(AND(Inputs!$C$65&lt;&gt;"",G$3&gt;=Inputs!$C$65),Inputs!$B$49*Inputs!$C$66*52/12*Inputs!$B$50,0)</f>
        <v>0</v>
      </c>
      <c r="H41" s="121" t="n">
        <f aca="false">Inputs!$B$44*H$7+Inputs!$B$46*H$8+IF(AND(Inputs!$C$65&lt;&gt;"",H$3&gt;=Inputs!$C$65),Inputs!$B$49*Inputs!$C$66*52/12*Inputs!$B$50,0)</f>
        <v>0</v>
      </c>
      <c r="I41" s="121" t="n">
        <f aca="false">Inputs!$B$44*I$7+Inputs!$B$46*I$8+IF(AND(Inputs!$C$65&lt;&gt;"",I$3&gt;=Inputs!$C$65),Inputs!$B$49*Inputs!$C$66*52/12*Inputs!$B$50,0)</f>
        <v>0</v>
      </c>
      <c r="J41" s="121" t="n">
        <f aca="false">Inputs!$B$44*J$7+Inputs!$B$46*J$8+IF(AND(Inputs!$C$65&lt;&gt;"",J$3&gt;=Inputs!$C$65),Inputs!$B$49*Inputs!$C$66*52/12*Inputs!$B$50,0)</f>
        <v>0</v>
      </c>
      <c r="K41" s="121" t="n">
        <f aca="false">Inputs!$B$44*K$7+Inputs!$B$46*K$8+IF(AND(Inputs!$C$65&lt;&gt;"",K$3&gt;=Inputs!$C$65),Inputs!$B$49*Inputs!$C$66*52/12*Inputs!$B$50,0)</f>
        <v>0</v>
      </c>
      <c r="L41" s="121" t="n">
        <f aca="false">Inputs!$B$44*L$7+Inputs!$B$46*L$8+IF(AND(Inputs!$C$65&lt;&gt;"",L$3&gt;=Inputs!$C$65),Inputs!$B$49*Inputs!$C$66*52/12*Inputs!$B$50,0)</f>
        <v>0</v>
      </c>
      <c r="M41" s="121" t="n">
        <f aca="false">Inputs!$B$44*M$7+Inputs!$B$46*M$8+IF(AND(Inputs!$C$65&lt;&gt;"",M$3&gt;=Inputs!$C$65),Inputs!$B$49*Inputs!$C$66*52/12*Inputs!$B$50,0)</f>
        <v>0</v>
      </c>
      <c r="N41" s="121" t="n">
        <f aca="false">Inputs!$B$44*N$7+Inputs!$B$46*N$8+IF(AND(Inputs!$C$65&lt;&gt;"",N$3&gt;=Inputs!$C$65),Inputs!$B$49*Inputs!$C$66*52/12*Inputs!$B$50,0)</f>
        <v>0</v>
      </c>
      <c r="O41" s="121" t="n">
        <f aca="false">Inputs!$B$44*O$7+Inputs!$B$46*O$8+IF(AND(Inputs!$C$65&lt;&gt;"",O$3&gt;=Inputs!$C$65),Inputs!$B$49*Inputs!$C$66*52/12*Inputs!$B$50,0)</f>
        <v>0</v>
      </c>
      <c r="P41" s="121" t="n">
        <f aca="false">Inputs!$B$44*P$7+Inputs!$B$46*P$8+IF(AND(Inputs!$C$65&lt;&gt;"",P$3&gt;=Inputs!$C$65),Inputs!$B$49*Inputs!$C$66*52/12*Inputs!$B$50,0)</f>
        <v>0</v>
      </c>
      <c r="Q41" s="121" t="n">
        <f aca="false">Inputs!$B$44*Q$7+Inputs!$B$46*Q$8+IF(AND(Inputs!$C$65&lt;&gt;"",Q$3&gt;=Inputs!$C$65),Inputs!$B$49*Inputs!$C$66*52/12*Inputs!$B$50,0)</f>
        <v>0</v>
      </c>
      <c r="R41" s="121" t="n">
        <f aca="false">Inputs!$B$44*R$7+Inputs!$B$46*R$8+IF(AND(Inputs!$C$65&lt;&gt;"",R$3&gt;=Inputs!$C$65),Inputs!$B$49*Inputs!$C$66*52/12*Inputs!$B$50,0)</f>
        <v>0</v>
      </c>
      <c r="S41" s="121" t="n">
        <f aca="false">Inputs!$B$44*S$7+Inputs!$B$46*S$8+IF(AND(Inputs!$C$65&lt;&gt;"",S$3&gt;=Inputs!$C$65),Inputs!$B$49*Inputs!$C$66*52/12*Inputs!$B$50,0)</f>
        <v>0</v>
      </c>
      <c r="T41" s="121" t="n">
        <f aca="false">Inputs!$B$44*T$7+Inputs!$B$46*T$8+IF(AND(Inputs!$C$65&lt;&gt;"",T$3&gt;=Inputs!$C$65),Inputs!$B$49*Inputs!$C$66*52/12*Inputs!$B$50,0)</f>
        <v>0</v>
      </c>
      <c r="U41" s="121" t="n">
        <f aca="false">Inputs!$B$44*U$7+Inputs!$B$46*U$8+IF(AND(Inputs!$C$65&lt;&gt;"",U$3&gt;=Inputs!$C$65),Inputs!$B$49*Inputs!$C$66*52/12*Inputs!$B$50,0)</f>
        <v>0</v>
      </c>
      <c r="V41" s="121" t="n">
        <f aca="false">Inputs!$B$44*V$7+Inputs!$B$46*V$8+IF(AND(Inputs!$C$65&lt;&gt;"",V$3&gt;=Inputs!$C$65),Inputs!$B$49*Inputs!$C$66*52/12*Inputs!$B$50,0)</f>
        <v>0</v>
      </c>
    </row>
    <row r="42" customFormat="false" ht="15" hidden="false" customHeight="false" outlineLevel="1" collapsed="false">
      <c r="A42" s="99" t="s">
        <v>933</v>
      </c>
      <c r="C42" s="126" t="n">
        <f aca="false">C$11</f>
        <v>0</v>
      </c>
      <c r="D42" s="126" t="n">
        <f aca="false">D$11</f>
        <v>0</v>
      </c>
      <c r="E42" s="126" t="n">
        <f aca="false">E$11</f>
        <v>0</v>
      </c>
      <c r="F42" s="126" t="n">
        <f aca="false">F$11</f>
        <v>0</v>
      </c>
      <c r="G42" s="126" t="n">
        <f aca="false">G$11</f>
        <v>0</v>
      </c>
      <c r="H42" s="126" t="n">
        <f aca="false">H$11</f>
        <v>0</v>
      </c>
      <c r="I42" s="126" t="n">
        <f aca="false">I$11</f>
        <v>0</v>
      </c>
      <c r="J42" s="126" t="n">
        <f aca="false">J$11</f>
        <v>0</v>
      </c>
      <c r="K42" s="126" t="n">
        <f aca="false">K$11</f>
        <v>0</v>
      </c>
      <c r="L42" s="126" t="n">
        <f aca="false">L$11</f>
        <v>0</v>
      </c>
      <c r="M42" s="126" t="n">
        <f aca="false">M$11</f>
        <v>0</v>
      </c>
      <c r="N42" s="126" t="n">
        <f aca="false">N$11</f>
        <v>0</v>
      </c>
      <c r="O42" s="126" t="n">
        <f aca="false">O$11</f>
        <v>0</v>
      </c>
      <c r="P42" s="126" t="n">
        <f aca="false">P$11</f>
        <v>0</v>
      </c>
      <c r="Q42" s="126" t="n">
        <f aca="false">Q$11</f>
        <v>0</v>
      </c>
      <c r="R42" s="126" t="n">
        <f aca="false">R$11</f>
        <v>0</v>
      </c>
      <c r="S42" s="126" t="n">
        <f aca="false">S$11</f>
        <v>0</v>
      </c>
      <c r="T42" s="126" t="n">
        <f aca="false">T$11</f>
        <v>0</v>
      </c>
      <c r="U42" s="126" t="n">
        <f aca="false">U$11</f>
        <v>0</v>
      </c>
      <c r="V42" s="126" t="n">
        <f aca="false">V$11</f>
        <v>0</v>
      </c>
    </row>
    <row r="43" customFormat="false" ht="15" hidden="false" customHeight="false" outlineLevel="0" collapsed="false">
      <c r="A43" s="174" t="s">
        <v>934</v>
      </c>
      <c r="C43" s="181" t="n">
        <f aca="false">SUM(C36:C42)</f>
        <v>0</v>
      </c>
      <c r="D43" s="181" t="n">
        <f aca="false">SUM(D36:D42)</f>
        <v>0</v>
      </c>
      <c r="E43" s="181" t="n">
        <f aca="false">SUM(E36:E42)</f>
        <v>0</v>
      </c>
      <c r="F43" s="181" t="n">
        <f aca="false">SUM(F36:F42)</f>
        <v>0</v>
      </c>
      <c r="G43" s="181" t="n">
        <f aca="false">SUM(G36:G42)</f>
        <v>0</v>
      </c>
      <c r="H43" s="181" t="n">
        <f aca="false">SUM(H36:H42)</f>
        <v>0</v>
      </c>
      <c r="I43" s="181" t="n">
        <f aca="false">SUM(I36:I42)</f>
        <v>0</v>
      </c>
      <c r="J43" s="181" t="n">
        <f aca="false">SUM(J36:J42)</f>
        <v>0</v>
      </c>
      <c r="K43" s="181" t="n">
        <f aca="false">SUM(K36:K42)</f>
        <v>0</v>
      </c>
      <c r="L43" s="181" t="n">
        <f aca="false">SUM(L36:L42)</f>
        <v>0</v>
      </c>
      <c r="M43" s="181" t="n">
        <f aca="false">SUM(M36:M42)</f>
        <v>0</v>
      </c>
      <c r="N43" s="181" t="n">
        <f aca="false">SUM(N36:N42)</f>
        <v>0</v>
      </c>
      <c r="O43" s="181" t="n">
        <f aca="false">SUM(O36:O42)</f>
        <v>0</v>
      </c>
      <c r="P43" s="181" t="n">
        <f aca="false">SUM(P36:P42)</f>
        <v>0</v>
      </c>
      <c r="Q43" s="181" t="n">
        <f aca="false">SUM(Q36:Q42)</f>
        <v>0</v>
      </c>
      <c r="R43" s="181" t="n">
        <f aca="false">SUM(R36:R42)</f>
        <v>0</v>
      </c>
      <c r="S43" s="181" t="n">
        <f aca="false">SUM(S36:S42)</f>
        <v>0</v>
      </c>
      <c r="T43" s="181" t="n">
        <f aca="false">SUM(T36:T42)</f>
        <v>0</v>
      </c>
      <c r="U43" s="181" t="n">
        <f aca="false">SUM(U36:U42)</f>
        <v>0</v>
      </c>
      <c r="V43" s="181" t="n">
        <f aca="false">SUM(V36:V42)</f>
        <v>0</v>
      </c>
    </row>
    <row r="44" customFormat="false" ht="15" hidden="false" customHeight="false" outlineLevel="0" collapsed="false">
      <c r="A44" s="180" t="s">
        <v>935</v>
      </c>
    </row>
    <row r="45" customFormat="false" ht="15" hidden="false" customHeight="false" outlineLevel="1" collapsed="false">
      <c r="A45" s="99" t="s">
        <v>936</v>
      </c>
      <c r="C45" s="121" t="n">
        <f aca="false">IF(C$4&lt;=0,Budget!$K$36,INDEX(Budget!$K$36:$M$36,1,Inputs!$C$68))</f>
        <v>0</v>
      </c>
      <c r="D45" s="121" t="n">
        <f aca="false">IF(D$4&lt;=0,Budget!$K$36,INDEX(Budget!$K$36:$M$36,1,Inputs!$C$68))</f>
        <v>0</v>
      </c>
      <c r="E45" s="121" t="n">
        <f aca="false">IF(E$4&lt;=0,Budget!$K$36,INDEX(Budget!$K$36:$M$36,1,Inputs!$C$68))</f>
        <v>0</v>
      </c>
      <c r="F45" s="121" t="n">
        <f aca="false">IF(F$4&lt;=0,Budget!$K$36,INDEX(Budget!$K$36:$M$36,1,Inputs!$C$68))</f>
        <v>0</v>
      </c>
      <c r="G45" s="121" t="n">
        <f aca="false">IF(G$4&lt;=0,Budget!$K$36,INDEX(Budget!$K$36:$M$36,1,Inputs!$C$68))</f>
        <v>0</v>
      </c>
      <c r="H45" s="121" t="n">
        <f aca="false">IF(H$4&lt;=0,Budget!$K$36,INDEX(Budget!$K$36:$M$36,1,Inputs!$C$68))</f>
        <v>0</v>
      </c>
      <c r="I45" s="121" t="n">
        <f aca="false">IF(I$4&lt;=0,Budget!$K$36,INDEX(Budget!$K$36:$M$36,1,Inputs!$C$68))</f>
        <v>0</v>
      </c>
      <c r="J45" s="121" t="n">
        <f aca="false">IF(J$4&lt;=0,Budget!$K$36,INDEX(Budget!$K$36:$M$36,1,Inputs!$C$68))</f>
        <v>0</v>
      </c>
      <c r="K45" s="121" t="n">
        <f aca="false">IF(K$4&lt;=0,Budget!$K$36,INDEX(Budget!$K$36:$M$36,1,Inputs!$C$68))</f>
        <v>0</v>
      </c>
      <c r="L45" s="121" t="n">
        <f aca="false">IF(L$4&lt;=0,Budget!$K$36,INDEX(Budget!$K$36:$M$36,1,Inputs!$C$68))</f>
        <v>0</v>
      </c>
      <c r="M45" s="121" t="n">
        <f aca="false">IF(M$4&lt;=0,Budget!$K$36,INDEX(Budget!$K$36:$M$36,1,Inputs!$C$68))</f>
        <v>0</v>
      </c>
      <c r="N45" s="121" t="n">
        <f aca="false">IF(N$4&lt;=0,Budget!$K$36,INDEX(Budget!$K$36:$M$36,1,Inputs!$C$68))</f>
        <v>0</v>
      </c>
      <c r="O45" s="121" t="n">
        <f aca="false">IF(O$4&lt;=0,Budget!$K$36,INDEX(Budget!$K$36:$M$36,1,Inputs!$C$68))</f>
        <v>0</v>
      </c>
      <c r="P45" s="121" t="n">
        <f aca="false">IF(P$4&lt;=0,Budget!$K$36,INDEX(Budget!$K$36:$M$36,1,Inputs!$C$68))</f>
        <v>0</v>
      </c>
      <c r="Q45" s="121" t="n">
        <f aca="false">IF(Q$4&lt;=0,Budget!$K$36,INDEX(Budget!$K$36:$M$36,1,Inputs!$C$68))</f>
        <v>0</v>
      </c>
      <c r="R45" s="121" t="n">
        <f aca="false">IF(R$4&lt;=0,Budget!$K$36,INDEX(Budget!$K$36:$M$36,1,Inputs!$C$68))</f>
        <v>0</v>
      </c>
      <c r="S45" s="121" t="n">
        <f aca="false">IF(S$4&lt;=0,Budget!$K$36,INDEX(Budget!$K$36:$M$36,1,Inputs!$C$68))</f>
        <v>0</v>
      </c>
      <c r="T45" s="121" t="n">
        <f aca="false">IF(T$4&lt;=0,Budget!$K$36,INDEX(Budget!$K$36:$M$36,1,Inputs!$C$68))</f>
        <v>0</v>
      </c>
      <c r="U45" s="121" t="n">
        <f aca="false">IF(U$4&lt;=0,Budget!$K$36,INDEX(Budget!$K$36:$M$36,1,Inputs!$C$68))</f>
        <v>0</v>
      </c>
      <c r="V45" s="121" t="n">
        <f aca="false">IF(V$4&lt;=0,Budget!$K$36,INDEX(Budget!$K$36:$M$36,1,Inputs!$C$68))</f>
        <v>0</v>
      </c>
    </row>
    <row r="46" customFormat="false" ht="15" hidden="false" customHeight="false" outlineLevel="1" collapsed="false">
      <c r="A46" s="99" t="s">
        <v>937</v>
      </c>
      <c r="C46" s="121" t="n">
        <f aca="false">IF(C$4&lt;=0,Budget!$K$37,INDEX(Budget!$K$37:$M$37,1,Inputs!$C$68))*IF(C$6&gt;0,Inputs!$B$54,1)</f>
        <v>0</v>
      </c>
      <c r="D46" s="121" t="n">
        <f aca="false">IF(D$4&lt;=0,Budget!$K$37,INDEX(Budget!$K$37:$M$37,1,Inputs!$C$68))*IF(D$6&gt;0,Inputs!$B$54,1)</f>
        <v>0</v>
      </c>
      <c r="E46" s="121" t="n">
        <f aca="false">IF(E$4&lt;=0,Budget!$K$37,INDEX(Budget!$K$37:$M$37,1,Inputs!$C$68))*IF(E$6&gt;0,Inputs!$B$54,1)</f>
        <v>0</v>
      </c>
      <c r="F46" s="121" t="n">
        <f aca="false">IF(F$4&lt;=0,Budget!$K$37,INDEX(Budget!$K$37:$M$37,1,Inputs!$C$68))*IF(F$6&gt;0,Inputs!$B$54,1)</f>
        <v>0</v>
      </c>
      <c r="G46" s="121" t="n">
        <f aca="false">IF(G$4&lt;=0,Budget!$K$37,INDEX(Budget!$K$37:$M$37,1,Inputs!$C$68))*IF(G$6&gt;0,Inputs!$B$54,1)</f>
        <v>0</v>
      </c>
      <c r="H46" s="121" t="n">
        <f aca="false">IF(H$4&lt;=0,Budget!$K$37,INDEX(Budget!$K$37:$M$37,1,Inputs!$C$68))*IF(H$6&gt;0,Inputs!$B$54,1)</f>
        <v>0</v>
      </c>
      <c r="I46" s="121" t="n">
        <f aca="false">IF(I$4&lt;=0,Budget!$K$37,INDEX(Budget!$K$37:$M$37,1,Inputs!$C$68))*IF(I$6&gt;0,Inputs!$B$54,1)</f>
        <v>0</v>
      </c>
      <c r="J46" s="121" t="n">
        <f aca="false">IF(J$4&lt;=0,Budget!$K$37,INDEX(Budget!$K$37:$M$37,1,Inputs!$C$68))*IF(J$6&gt;0,Inputs!$B$54,1)</f>
        <v>0</v>
      </c>
      <c r="K46" s="121" t="n">
        <f aca="false">IF(K$4&lt;=0,Budget!$K$37,INDEX(Budget!$K$37:$M$37,1,Inputs!$C$68))*IF(K$6&gt;0,Inputs!$B$54,1)</f>
        <v>0</v>
      </c>
      <c r="L46" s="121" t="n">
        <f aca="false">IF(L$4&lt;=0,Budget!$K$37,INDEX(Budget!$K$37:$M$37,1,Inputs!$C$68))*IF(L$6&gt;0,Inputs!$B$54,1)</f>
        <v>0</v>
      </c>
      <c r="M46" s="121" t="n">
        <f aca="false">IF(M$4&lt;=0,Budget!$K$37,INDEX(Budget!$K$37:$M$37,1,Inputs!$C$68))*IF(M$6&gt;0,Inputs!$B$54,1)</f>
        <v>0</v>
      </c>
      <c r="N46" s="121" t="n">
        <f aca="false">IF(N$4&lt;=0,Budget!$K$37,INDEX(Budget!$K$37:$M$37,1,Inputs!$C$68))*IF(N$6&gt;0,Inputs!$B$54,1)</f>
        <v>0</v>
      </c>
      <c r="O46" s="121" t="n">
        <f aca="false">IF(O$4&lt;=0,Budget!$K$37,INDEX(Budget!$K$37:$M$37,1,Inputs!$C$68))*IF(O$6&gt;0,Inputs!$B$54,1)</f>
        <v>0</v>
      </c>
      <c r="P46" s="121" t="n">
        <f aca="false">IF(P$4&lt;=0,Budget!$K$37,INDEX(Budget!$K$37:$M$37,1,Inputs!$C$68))*IF(P$6&gt;0,Inputs!$B$54,1)</f>
        <v>0</v>
      </c>
      <c r="Q46" s="121" t="n">
        <f aca="false">IF(Q$4&lt;=0,Budget!$K$37,INDEX(Budget!$K$37:$M$37,1,Inputs!$C$68))*IF(Q$6&gt;0,Inputs!$B$54,1)</f>
        <v>0</v>
      </c>
      <c r="R46" s="121" t="n">
        <f aca="false">IF(R$4&lt;=0,Budget!$K$37,INDEX(Budget!$K$37:$M$37,1,Inputs!$C$68))*IF(R$6&gt;0,Inputs!$B$54,1)</f>
        <v>0</v>
      </c>
      <c r="S46" s="121" t="n">
        <f aca="false">IF(S$4&lt;=0,Budget!$K$37,INDEX(Budget!$K$37:$M$37,1,Inputs!$C$68))*IF(S$6&gt;0,Inputs!$B$54,1)</f>
        <v>0</v>
      </c>
      <c r="T46" s="121" t="n">
        <f aca="false">IF(T$4&lt;=0,Budget!$K$37,INDEX(Budget!$K$37:$M$37,1,Inputs!$C$68))*IF(T$6&gt;0,Inputs!$B$54,1)</f>
        <v>0</v>
      </c>
      <c r="U46" s="121" t="n">
        <f aca="false">IF(U$4&lt;=0,Budget!$K$37,INDEX(Budget!$K$37:$M$37,1,Inputs!$C$68))*IF(U$6&gt;0,Inputs!$B$54,1)</f>
        <v>0</v>
      </c>
      <c r="V46" s="121" t="n">
        <f aca="false">IF(V$4&lt;=0,Budget!$K$37,INDEX(Budget!$K$37:$M$37,1,Inputs!$C$68))*IF(V$6&gt;0,Inputs!$B$54,1)</f>
        <v>0</v>
      </c>
    </row>
    <row r="47" customFormat="false" ht="15" hidden="false" customHeight="false" outlineLevel="1" collapsed="false">
      <c r="A47" s="99" t="s">
        <v>938</v>
      </c>
      <c r="C47" s="121" t="n">
        <f aca="false">IF(C$4&lt;1,0,IF(C40&gt;0,0,IF(C$4&lt;=12,Inputs!$B$40,IF(C$4&lt;=18,Inputs!$B$41,0))))</f>
        <v>0</v>
      </c>
      <c r="D47" s="121" t="n">
        <f aca="false">IF(D$4&lt;1,0,IF(D40&gt;0,0,IF(D$4&lt;=12,Inputs!$B$40,IF(D$4&lt;=18,Inputs!$B$41,0))))</f>
        <v>0</v>
      </c>
      <c r="E47" s="121" t="n">
        <f aca="false">IF(E$4&lt;1,0,IF(E40&gt;0,0,IF(E$4&lt;=12,Inputs!$B$40,IF(E$4&lt;=18,Inputs!$B$41,0))))</f>
        <v>0</v>
      </c>
      <c r="F47" s="121" t="n">
        <f aca="false">IF(F$4&lt;1,0,IF(F40&gt;0,0,IF(F$4&lt;=12,Inputs!$B$40,IF(F$4&lt;=18,Inputs!$B$41,0))))</f>
        <v>0</v>
      </c>
      <c r="G47" s="121" t="n">
        <f aca="false">IF(G$4&lt;1,0,IF(G40&gt;0,0,IF(G$4&lt;=12,Inputs!$B$40,IF(G$4&lt;=18,Inputs!$B$41,0))))</f>
        <v>0</v>
      </c>
      <c r="H47" s="121" t="n">
        <f aca="false">IF(H$4&lt;1,0,IF(H40&gt;0,0,IF(H$4&lt;=12,Inputs!$B$40,IF(H$4&lt;=18,Inputs!$B$41,0))))</f>
        <v>0</v>
      </c>
      <c r="I47" s="121" t="n">
        <f aca="false">IF(I$4&lt;1,0,IF(I40&gt;0,0,IF(I$4&lt;=12,Inputs!$B$40,IF(I$4&lt;=18,Inputs!$B$41,0))))</f>
        <v>0</v>
      </c>
      <c r="J47" s="121" t="n">
        <f aca="false">IF(J$4&lt;1,0,IF(J40&gt;0,0,IF(J$4&lt;=12,Inputs!$B$40,IF(J$4&lt;=18,Inputs!$B$41,0))))</f>
        <v>0</v>
      </c>
      <c r="K47" s="121" t="n">
        <f aca="false">IF(K$4&lt;1,0,IF(K40&gt;0,0,IF(K$4&lt;=12,Inputs!$B$40,IF(K$4&lt;=18,Inputs!$B$41,0))))</f>
        <v>0</v>
      </c>
      <c r="L47" s="121" t="n">
        <f aca="false">IF(L$4&lt;1,0,IF(L40&gt;0,0,IF(L$4&lt;=12,Inputs!$B$40,IF(L$4&lt;=18,Inputs!$B$41,0))))</f>
        <v>0</v>
      </c>
      <c r="M47" s="121" t="n">
        <f aca="false">IF(M$4&lt;1,0,IF(M40&gt;0,0,IF(M$4&lt;=12,Inputs!$B$40,IF(M$4&lt;=18,Inputs!$B$41,0))))</f>
        <v>0</v>
      </c>
      <c r="N47" s="121" t="n">
        <f aca="false">IF(N$4&lt;1,0,IF(N40&gt;0,0,IF(N$4&lt;=12,Inputs!$B$40,IF(N$4&lt;=18,Inputs!$B$41,0))))</f>
        <v>0</v>
      </c>
      <c r="O47" s="121" t="n">
        <f aca="false">IF(O$4&lt;1,0,IF(O40&gt;0,0,IF(O$4&lt;=12,Inputs!$B$40,IF(O$4&lt;=18,Inputs!$B$41,0))))</f>
        <v>0</v>
      </c>
      <c r="P47" s="121" t="n">
        <f aca="false">IF(P$4&lt;1,0,IF(P40&gt;0,0,IF(P$4&lt;=12,Inputs!$B$40,IF(P$4&lt;=18,Inputs!$B$41,0))))</f>
        <v>0</v>
      </c>
      <c r="Q47" s="121" t="n">
        <f aca="false">IF(Q$4&lt;1,0,IF(Q40&gt;0,0,IF(Q$4&lt;=12,Inputs!$B$40,IF(Q$4&lt;=18,Inputs!$B$41,0))))</f>
        <v>0</v>
      </c>
      <c r="R47" s="121" t="n">
        <f aca="false">IF(R$4&lt;1,0,IF(R40&gt;0,0,IF(R$4&lt;=12,Inputs!$B$40,IF(R$4&lt;=18,Inputs!$B$41,0))))</f>
        <v>0</v>
      </c>
      <c r="S47" s="121" t="n">
        <f aca="false">IF(S$4&lt;1,0,IF(S40&gt;0,0,IF(S$4&lt;=12,Inputs!$B$40,IF(S$4&lt;=18,Inputs!$B$41,0))))</f>
        <v>0</v>
      </c>
      <c r="T47" s="121" t="n">
        <f aca="false">IF(T$4&lt;1,0,IF(T40&gt;0,0,IF(T$4&lt;=12,Inputs!$B$40,IF(T$4&lt;=18,Inputs!$B$41,0))))</f>
        <v>0</v>
      </c>
      <c r="U47" s="121" t="n">
        <f aca="false">IF(U$4&lt;1,0,IF(U40&gt;0,0,IF(U$4&lt;=12,Inputs!$B$40,IF(U$4&lt;=18,Inputs!$B$41,0))))</f>
        <v>0</v>
      </c>
      <c r="V47" s="121" t="n">
        <f aca="false">IF(V$4&lt;1,0,IF(V40&gt;0,0,IF(V$4&lt;=12,Inputs!$B$40,IF(V$4&lt;=18,Inputs!$B$41,0))))</f>
        <v>0</v>
      </c>
    </row>
    <row r="48" customFormat="false" ht="15" hidden="false" customHeight="false" outlineLevel="1" collapsed="false">
      <c r="A48" s="99" t="s">
        <v>939</v>
      </c>
      <c r="C48" s="121" t="n">
        <f aca="false">Inputs!$B$53*(1+Inputs!$C$69)*C$6</f>
        <v>0</v>
      </c>
      <c r="D48" s="121" t="n">
        <f aca="false">Inputs!$B$53*(1+Inputs!$C$69)*D$6</f>
        <v>0</v>
      </c>
      <c r="E48" s="121" t="n">
        <f aca="false">Inputs!$B$53*(1+Inputs!$C$69)*E$6</f>
        <v>0</v>
      </c>
      <c r="F48" s="121" t="n">
        <f aca="false">Inputs!$B$53*(1+Inputs!$C$69)*F$6</f>
        <v>0</v>
      </c>
      <c r="G48" s="121" t="n">
        <f aca="false">Inputs!$B$53*(1+Inputs!$C$69)*G$6</f>
        <v>0</v>
      </c>
      <c r="H48" s="121" t="n">
        <f aca="false">Inputs!$B$53*(1+Inputs!$C$69)*H$6</f>
        <v>0</v>
      </c>
      <c r="I48" s="121" t="n">
        <f aca="false">Inputs!$B$53*(1+Inputs!$C$69)*I$6</f>
        <v>0</v>
      </c>
      <c r="J48" s="121" t="n">
        <f aca="false">Inputs!$B$53*(1+Inputs!$C$69)*J$6</f>
        <v>0</v>
      </c>
      <c r="K48" s="121" t="n">
        <f aca="false">Inputs!$B$53*(1+Inputs!$C$69)*K$6</f>
        <v>0</v>
      </c>
      <c r="L48" s="121" t="n">
        <f aca="false">Inputs!$B$53*(1+Inputs!$C$69)*L$6</f>
        <v>0</v>
      </c>
      <c r="M48" s="121" t="n">
        <f aca="false">Inputs!$B$53*(1+Inputs!$C$69)*M$6</f>
        <v>0</v>
      </c>
      <c r="N48" s="121" t="n">
        <f aca="false">Inputs!$B$53*(1+Inputs!$C$69)*N$6</f>
        <v>0</v>
      </c>
      <c r="O48" s="121" t="n">
        <f aca="false">Inputs!$B$53*(1+Inputs!$C$69)*O$6</f>
        <v>0</v>
      </c>
      <c r="P48" s="121" t="n">
        <f aca="false">Inputs!$B$53*(1+Inputs!$C$69)*P$6</f>
        <v>0</v>
      </c>
      <c r="Q48" s="121" t="n">
        <f aca="false">Inputs!$B$53*(1+Inputs!$C$69)*Q$6</f>
        <v>0</v>
      </c>
      <c r="R48" s="121" t="n">
        <f aca="false">Inputs!$B$53*(1+Inputs!$C$69)*R$6</f>
        <v>0</v>
      </c>
      <c r="S48" s="121" t="n">
        <f aca="false">Inputs!$B$53*(1+Inputs!$C$69)*S$6</f>
        <v>0</v>
      </c>
      <c r="T48" s="121" t="n">
        <f aca="false">Inputs!$B$53*(1+Inputs!$C$69)*T$6</f>
        <v>0</v>
      </c>
      <c r="U48" s="121" t="n">
        <f aca="false">Inputs!$B$53*(1+Inputs!$C$69)*U$6</f>
        <v>0</v>
      </c>
      <c r="V48" s="121" t="n">
        <f aca="false">Inputs!$B$53*(1+Inputs!$C$69)*V$6</f>
        <v>0</v>
      </c>
    </row>
    <row r="49" customFormat="false" ht="15" hidden="false" customHeight="false" outlineLevel="1" collapsed="false">
      <c r="A49" s="99" t="s">
        <v>940</v>
      </c>
      <c r="C49" s="126" t="n">
        <f aca="false">C$9</f>
        <v>0</v>
      </c>
      <c r="D49" s="126" t="n">
        <f aca="false">D$9</f>
        <v>0</v>
      </c>
      <c r="E49" s="126" t="n">
        <f aca="false">E$9</f>
        <v>0</v>
      </c>
      <c r="F49" s="126" t="n">
        <f aca="false">F$9</f>
        <v>0</v>
      </c>
      <c r="G49" s="126" t="n">
        <f aca="false">G$9</f>
        <v>0</v>
      </c>
      <c r="H49" s="126" t="n">
        <f aca="false">H$9</f>
        <v>0</v>
      </c>
      <c r="I49" s="126" t="n">
        <f aca="false">I$9</f>
        <v>0</v>
      </c>
      <c r="J49" s="126" t="n">
        <f aca="false">J$9</f>
        <v>0</v>
      </c>
      <c r="K49" s="126" t="n">
        <f aca="false">K$9</f>
        <v>0</v>
      </c>
      <c r="L49" s="126" t="n">
        <f aca="false">L$9</f>
        <v>0</v>
      </c>
      <c r="M49" s="126" t="n">
        <f aca="false">M$9</f>
        <v>0</v>
      </c>
      <c r="N49" s="126" t="n">
        <f aca="false">N$9</f>
        <v>0</v>
      </c>
      <c r="O49" s="126" t="n">
        <f aca="false">O$9</f>
        <v>0</v>
      </c>
      <c r="P49" s="126" t="n">
        <f aca="false">P$9</f>
        <v>0</v>
      </c>
      <c r="Q49" s="126" t="n">
        <f aca="false">Q$9</f>
        <v>0</v>
      </c>
      <c r="R49" s="126" t="n">
        <f aca="false">R$9</f>
        <v>0</v>
      </c>
      <c r="S49" s="126" t="n">
        <f aca="false">S$9</f>
        <v>0</v>
      </c>
      <c r="T49" s="126" t="n">
        <f aca="false">T$9</f>
        <v>0</v>
      </c>
      <c r="U49" s="126" t="n">
        <f aca="false">U$9</f>
        <v>0</v>
      </c>
      <c r="V49" s="126" t="n">
        <f aca="false">V$9</f>
        <v>0</v>
      </c>
    </row>
    <row r="50" customFormat="false" ht="15" hidden="false" customHeight="false" outlineLevel="1" collapsed="false">
      <c r="A50" s="99" t="s">
        <v>941</v>
      </c>
      <c r="C50" s="126" t="n">
        <f aca="false">C$10</f>
        <v>0</v>
      </c>
      <c r="D50" s="126" t="n">
        <f aca="false">D$10</f>
        <v>0</v>
      </c>
      <c r="E50" s="126" t="n">
        <f aca="false">E$10</f>
        <v>0</v>
      </c>
      <c r="F50" s="126" t="n">
        <f aca="false">F$10</f>
        <v>0</v>
      </c>
      <c r="G50" s="126" t="n">
        <f aca="false">G$10</f>
        <v>0</v>
      </c>
      <c r="H50" s="126" t="n">
        <f aca="false">H$10</f>
        <v>0</v>
      </c>
      <c r="I50" s="126" t="n">
        <f aca="false">I$10</f>
        <v>0</v>
      </c>
      <c r="J50" s="126" t="n">
        <f aca="false">J$10</f>
        <v>0</v>
      </c>
      <c r="K50" s="126" t="n">
        <f aca="false">K$10</f>
        <v>0</v>
      </c>
      <c r="L50" s="126" t="n">
        <f aca="false">L$10</f>
        <v>0</v>
      </c>
      <c r="M50" s="126" t="n">
        <f aca="false">M$10</f>
        <v>0</v>
      </c>
      <c r="N50" s="126" t="n">
        <f aca="false">N$10</f>
        <v>0</v>
      </c>
      <c r="O50" s="126" t="n">
        <f aca="false">O$10</f>
        <v>0</v>
      </c>
      <c r="P50" s="126" t="n">
        <f aca="false">P$10</f>
        <v>0</v>
      </c>
      <c r="Q50" s="126" t="n">
        <f aca="false">Q$10</f>
        <v>0</v>
      </c>
      <c r="R50" s="126" t="n">
        <f aca="false">R$10</f>
        <v>0</v>
      </c>
      <c r="S50" s="126" t="n">
        <f aca="false">S$10</f>
        <v>0</v>
      </c>
      <c r="T50" s="126" t="n">
        <f aca="false">T$10</f>
        <v>0</v>
      </c>
      <c r="U50" s="126" t="n">
        <f aca="false">U$10</f>
        <v>0</v>
      </c>
      <c r="V50" s="126" t="n">
        <f aca="false">V$10</f>
        <v>0</v>
      </c>
    </row>
    <row r="51" customFormat="false" ht="15" hidden="false" customHeight="false" outlineLevel="0" collapsed="false">
      <c r="A51" s="174" t="s">
        <v>942</v>
      </c>
      <c r="C51" s="181" t="n">
        <f aca="false">SUM(C45:C50)</f>
        <v>0</v>
      </c>
      <c r="D51" s="181" t="n">
        <f aca="false">SUM(D45:D50)</f>
        <v>0</v>
      </c>
      <c r="E51" s="181" t="n">
        <f aca="false">SUM(E45:E50)</f>
        <v>0</v>
      </c>
      <c r="F51" s="181" t="n">
        <f aca="false">SUM(F45:F50)</f>
        <v>0</v>
      </c>
      <c r="G51" s="181" t="n">
        <f aca="false">SUM(G45:G50)</f>
        <v>0</v>
      </c>
      <c r="H51" s="181" t="n">
        <f aca="false">SUM(H45:H50)</f>
        <v>0</v>
      </c>
      <c r="I51" s="181" t="n">
        <f aca="false">SUM(I45:I50)</f>
        <v>0</v>
      </c>
      <c r="J51" s="181" t="n">
        <f aca="false">SUM(J45:J50)</f>
        <v>0</v>
      </c>
      <c r="K51" s="181" t="n">
        <f aca="false">SUM(K45:K50)</f>
        <v>0</v>
      </c>
      <c r="L51" s="181" t="n">
        <f aca="false">SUM(L45:L50)</f>
        <v>0</v>
      </c>
      <c r="M51" s="181" t="n">
        <f aca="false">SUM(M45:M50)</f>
        <v>0</v>
      </c>
      <c r="N51" s="181" t="n">
        <f aca="false">SUM(N45:N50)</f>
        <v>0</v>
      </c>
      <c r="O51" s="181" t="n">
        <f aca="false">SUM(O45:O50)</f>
        <v>0</v>
      </c>
      <c r="P51" s="181" t="n">
        <f aca="false">SUM(P45:P50)</f>
        <v>0</v>
      </c>
      <c r="Q51" s="181" t="n">
        <f aca="false">SUM(Q45:Q50)</f>
        <v>0</v>
      </c>
      <c r="R51" s="181" t="n">
        <f aca="false">SUM(R45:R50)</f>
        <v>0</v>
      </c>
      <c r="S51" s="181" t="n">
        <f aca="false">SUM(S45:S50)</f>
        <v>0</v>
      </c>
      <c r="T51" s="181" t="n">
        <f aca="false">SUM(T45:T50)</f>
        <v>0</v>
      </c>
      <c r="U51" s="181" t="n">
        <f aca="false">SUM(U45:U50)</f>
        <v>0</v>
      </c>
      <c r="V51" s="181" t="n">
        <f aca="false">SUM(V45:V50)</f>
        <v>0</v>
      </c>
    </row>
    <row r="52" customFormat="false" ht="15" hidden="false" customHeight="false" outlineLevel="0" collapsed="false">
      <c r="A52" s="174" t="s">
        <v>943</v>
      </c>
      <c r="C52" s="181" t="n">
        <f aca="false">C43-C51</f>
        <v>0</v>
      </c>
      <c r="D52" s="181" t="n">
        <f aca="false">D43-D51</f>
        <v>0</v>
      </c>
      <c r="E52" s="181" t="n">
        <f aca="false">E43-E51</f>
        <v>0</v>
      </c>
      <c r="F52" s="181" t="n">
        <f aca="false">F43-F51</f>
        <v>0</v>
      </c>
      <c r="G52" s="181" t="n">
        <f aca="false">G43-G51</f>
        <v>0</v>
      </c>
      <c r="H52" s="181" t="n">
        <f aca="false">H43-H51</f>
        <v>0</v>
      </c>
      <c r="I52" s="181" t="n">
        <f aca="false">I43-I51</f>
        <v>0</v>
      </c>
      <c r="J52" s="181" t="n">
        <f aca="false">J43-J51</f>
        <v>0</v>
      </c>
      <c r="K52" s="181" t="n">
        <f aca="false">K43-K51</f>
        <v>0</v>
      </c>
      <c r="L52" s="181" t="n">
        <f aca="false">L43-L51</f>
        <v>0</v>
      </c>
      <c r="M52" s="181" t="n">
        <f aca="false">M43-M51</f>
        <v>0</v>
      </c>
      <c r="N52" s="181" t="n">
        <f aca="false">N43-N51</f>
        <v>0</v>
      </c>
      <c r="O52" s="181" t="n">
        <f aca="false">O43-O51</f>
        <v>0</v>
      </c>
      <c r="P52" s="181" t="n">
        <f aca="false">P43-P51</f>
        <v>0</v>
      </c>
      <c r="Q52" s="181" t="n">
        <f aca="false">Q43-Q51</f>
        <v>0</v>
      </c>
      <c r="R52" s="181" t="n">
        <f aca="false">R43-R51</f>
        <v>0</v>
      </c>
      <c r="S52" s="181" t="n">
        <f aca="false">S43-S51</f>
        <v>0</v>
      </c>
      <c r="T52" s="181" t="n">
        <f aca="false">T43-T51</f>
        <v>0</v>
      </c>
      <c r="U52" s="181" t="n">
        <f aca="false">U43-U51</f>
        <v>0</v>
      </c>
      <c r="V52" s="181" t="n">
        <f aca="false">V43-V51</f>
        <v>0</v>
      </c>
    </row>
    <row r="53" customFormat="false" ht="15" hidden="false" customHeight="false" outlineLevel="0" collapsed="false">
      <c r="A53" s="151" t="s">
        <v>944</v>
      </c>
      <c r="C53" s="152" t="n">
        <f aca="false">Inputs!$B$8+C52</f>
        <v>0</v>
      </c>
      <c r="D53" s="152" t="n">
        <f aca="false">C53+D52</f>
        <v>0</v>
      </c>
      <c r="E53" s="152" t="n">
        <f aca="false">D53+E52</f>
        <v>0</v>
      </c>
      <c r="F53" s="152" t="n">
        <f aca="false">E53+F52</f>
        <v>0</v>
      </c>
      <c r="G53" s="152" t="n">
        <f aca="false">F53+G52</f>
        <v>0</v>
      </c>
      <c r="H53" s="152" t="n">
        <f aca="false">G53+H52</f>
        <v>0</v>
      </c>
      <c r="I53" s="152" t="n">
        <f aca="false">H53+I52</f>
        <v>0</v>
      </c>
      <c r="J53" s="152" t="n">
        <f aca="false">I53+J52</f>
        <v>0</v>
      </c>
      <c r="K53" s="152" t="n">
        <f aca="false">J53+K52</f>
        <v>0</v>
      </c>
      <c r="L53" s="152" t="n">
        <f aca="false">K53+L52</f>
        <v>0</v>
      </c>
      <c r="M53" s="152" t="n">
        <f aca="false">L53+M52</f>
        <v>0</v>
      </c>
      <c r="N53" s="152" t="n">
        <f aca="false">M53+N52</f>
        <v>0</v>
      </c>
      <c r="O53" s="152" t="n">
        <f aca="false">N53+O52</f>
        <v>0</v>
      </c>
      <c r="P53" s="152" t="n">
        <f aca="false">O53+P52</f>
        <v>0</v>
      </c>
      <c r="Q53" s="152" t="n">
        <f aca="false">P53+Q52</f>
        <v>0</v>
      </c>
      <c r="R53" s="152" t="n">
        <f aca="false">Q53+R52</f>
        <v>0</v>
      </c>
      <c r="S53" s="152" t="n">
        <f aca="false">R53+S52</f>
        <v>0</v>
      </c>
      <c r="T53" s="152" t="n">
        <f aca="false">S53+T52</f>
        <v>0</v>
      </c>
      <c r="U53" s="152" t="n">
        <f aca="false">T53+U52</f>
        <v>0</v>
      </c>
      <c r="V53" s="152" t="n">
        <f aca="false">U53+V52</f>
        <v>0</v>
      </c>
    </row>
    <row r="55" customFormat="false" ht="15" hidden="false" customHeight="false" outlineLevel="0" collapsed="false">
      <c r="A55" s="178" t="str">
        <f aca="false">"WORST CASE — "&amp;IF(Inputs!$D$62&gt;0,"new income from "&amp;TEXT(EDATE(DATE(YEAR(Inputs!$B$6),MONTH(Inputs!$B$6),1),Inputs!$D$62),"mmm yyyy")&amp;" at "&amp;TEXT(Inputs!$D$63,"#,##0")&amp;"/yr","no new income in the first 12 months")</f>
        <v>WORST CASE — no new income in the first 12 months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</row>
    <row r="56" customFormat="false" ht="15" hidden="false" customHeight="false" outlineLevel="0" collapsed="false">
      <c r="A56" s="180" t="s">
        <v>928</v>
      </c>
    </row>
    <row r="57" customFormat="false" ht="15" hidden="false" customHeight="false" outlineLevel="1" collapsed="false">
      <c r="A57" s="99" t="s">
        <v>929</v>
      </c>
      <c r="C57" s="121" t="n">
        <f aca="false">C$5*Inputs!$B$14</f>
        <v>0</v>
      </c>
      <c r="D57" s="121" t="n">
        <f aca="false">D$5*Inputs!$B$14</f>
        <v>0</v>
      </c>
      <c r="E57" s="121" t="n">
        <f aca="false">E$5*Inputs!$B$14</f>
        <v>0</v>
      </c>
      <c r="F57" s="121" t="n">
        <f aca="false">F$5*Inputs!$B$14</f>
        <v>0</v>
      </c>
      <c r="G57" s="121" t="n">
        <f aca="false">G$5*Inputs!$B$14</f>
        <v>0</v>
      </c>
      <c r="H57" s="121" t="n">
        <f aca="false">H$5*Inputs!$B$14</f>
        <v>0</v>
      </c>
      <c r="I57" s="121" t="n">
        <f aca="false">I$5*Inputs!$B$14</f>
        <v>0</v>
      </c>
      <c r="J57" s="121" t="n">
        <f aca="false">J$5*Inputs!$B$14</f>
        <v>0</v>
      </c>
      <c r="K57" s="121" t="n">
        <f aca="false">K$5*Inputs!$B$14</f>
        <v>0</v>
      </c>
      <c r="L57" s="121" t="n">
        <f aca="false">L$5*Inputs!$B$14</f>
        <v>0</v>
      </c>
      <c r="M57" s="121" t="n">
        <f aca="false">M$5*Inputs!$B$14</f>
        <v>0</v>
      </c>
      <c r="N57" s="121" t="n">
        <f aca="false">N$5*Inputs!$B$14</f>
        <v>0</v>
      </c>
      <c r="O57" s="121" t="n">
        <f aca="false">O$5*Inputs!$B$14</f>
        <v>0</v>
      </c>
      <c r="P57" s="121" t="n">
        <f aca="false">P$5*Inputs!$B$14</f>
        <v>0</v>
      </c>
      <c r="Q57" s="121" t="n">
        <f aca="false">Q$5*Inputs!$B$14</f>
        <v>0</v>
      </c>
      <c r="R57" s="121" t="n">
        <f aca="false">R$5*Inputs!$B$14</f>
        <v>0</v>
      </c>
      <c r="S57" s="121" t="n">
        <f aca="false">S$5*Inputs!$B$14</f>
        <v>0</v>
      </c>
      <c r="T57" s="121" t="n">
        <f aca="false">T$5*Inputs!$B$14</f>
        <v>0</v>
      </c>
      <c r="U57" s="121" t="n">
        <f aca="false">U$5*Inputs!$B$14</f>
        <v>0</v>
      </c>
      <c r="V57" s="121" t="n">
        <f aca="false">V$5*Inputs!$B$14</f>
        <v>0</v>
      </c>
    </row>
    <row r="58" customFormat="false" ht="15" hidden="false" customHeight="false" outlineLevel="1" collapsed="false">
      <c r="A58" s="99" t="s">
        <v>930</v>
      </c>
      <c r="C58" s="121" t="n">
        <f aca="false">IF(AND(YEAR(C$3)=YEAR(Inputs!$B$21),MONTH(C$3)=MONTH(Inputs!$B$21)),Inputs!$B$22,0)</f>
        <v>0</v>
      </c>
      <c r="D58" s="121" t="n">
        <f aca="false">IF(AND(YEAR(D$3)=YEAR(Inputs!$B$21),MONTH(D$3)=MONTH(Inputs!$B$21)),Inputs!$B$22,0)</f>
        <v>0</v>
      </c>
      <c r="E58" s="121" t="n">
        <f aca="false">IF(AND(YEAR(E$3)=YEAR(Inputs!$B$21),MONTH(E$3)=MONTH(Inputs!$B$21)),Inputs!$B$22,0)</f>
        <v>0</v>
      </c>
      <c r="F58" s="121" t="n">
        <f aca="false">IF(AND(YEAR(F$3)=YEAR(Inputs!$B$21),MONTH(F$3)=MONTH(Inputs!$B$21)),Inputs!$B$22,0)</f>
        <v>0</v>
      </c>
      <c r="G58" s="121" t="n">
        <f aca="false">IF(AND(YEAR(G$3)=YEAR(Inputs!$B$21),MONTH(G$3)=MONTH(Inputs!$B$21)),Inputs!$B$22,0)</f>
        <v>0</v>
      </c>
      <c r="H58" s="121" t="n">
        <f aca="false">IF(AND(YEAR(H$3)=YEAR(Inputs!$B$21),MONTH(H$3)=MONTH(Inputs!$B$21)),Inputs!$B$22,0)</f>
        <v>0</v>
      </c>
      <c r="I58" s="121" t="n">
        <f aca="false">IF(AND(YEAR(I$3)=YEAR(Inputs!$B$21),MONTH(I$3)=MONTH(Inputs!$B$21)),Inputs!$B$22,0)</f>
        <v>0</v>
      </c>
      <c r="J58" s="121" t="n">
        <f aca="false">IF(AND(YEAR(J$3)=YEAR(Inputs!$B$21),MONTH(J$3)=MONTH(Inputs!$B$21)),Inputs!$B$22,0)</f>
        <v>0</v>
      </c>
      <c r="K58" s="121" t="n">
        <f aca="false">IF(AND(YEAR(K$3)=YEAR(Inputs!$B$21),MONTH(K$3)=MONTH(Inputs!$B$21)),Inputs!$B$22,0)</f>
        <v>0</v>
      </c>
      <c r="L58" s="121" t="n">
        <f aca="false">IF(AND(YEAR(L$3)=YEAR(Inputs!$B$21),MONTH(L$3)=MONTH(Inputs!$B$21)),Inputs!$B$22,0)</f>
        <v>0</v>
      </c>
      <c r="M58" s="121" t="n">
        <f aca="false">IF(AND(YEAR(M$3)=YEAR(Inputs!$B$21),MONTH(M$3)=MONTH(Inputs!$B$21)),Inputs!$B$22,0)</f>
        <v>0</v>
      </c>
      <c r="N58" s="121" t="n">
        <f aca="false">IF(AND(YEAR(N$3)=YEAR(Inputs!$B$21),MONTH(N$3)=MONTH(Inputs!$B$21)),Inputs!$B$22,0)</f>
        <v>0</v>
      </c>
      <c r="O58" s="121" t="n">
        <f aca="false">IF(AND(YEAR(O$3)=YEAR(Inputs!$B$21),MONTH(O$3)=MONTH(Inputs!$B$21)),Inputs!$B$22,0)</f>
        <v>0</v>
      </c>
      <c r="P58" s="121" t="n">
        <f aca="false">IF(AND(YEAR(P$3)=YEAR(Inputs!$B$21),MONTH(P$3)=MONTH(Inputs!$B$21)),Inputs!$B$22,0)</f>
        <v>0</v>
      </c>
      <c r="Q58" s="121" t="n">
        <f aca="false">IF(AND(YEAR(Q$3)=YEAR(Inputs!$B$21),MONTH(Q$3)=MONTH(Inputs!$B$21)),Inputs!$B$22,0)</f>
        <v>0</v>
      </c>
      <c r="R58" s="121" t="n">
        <f aca="false">IF(AND(YEAR(R$3)=YEAR(Inputs!$B$21),MONTH(R$3)=MONTH(Inputs!$B$21)),Inputs!$B$22,0)</f>
        <v>0</v>
      </c>
      <c r="S58" s="121" t="n">
        <f aca="false">IF(AND(YEAR(S$3)=YEAR(Inputs!$B$21),MONTH(S$3)=MONTH(Inputs!$B$21)),Inputs!$B$22,0)</f>
        <v>0</v>
      </c>
      <c r="T58" s="121" t="n">
        <f aca="false">IF(AND(YEAR(T$3)=YEAR(Inputs!$B$21),MONTH(T$3)=MONTH(Inputs!$B$21)),Inputs!$B$22,0)</f>
        <v>0</v>
      </c>
      <c r="U58" s="121" t="n">
        <f aca="false">IF(AND(YEAR(U$3)=YEAR(Inputs!$B$21),MONTH(U$3)=MONTH(Inputs!$B$21)),Inputs!$B$22,0)</f>
        <v>0</v>
      </c>
      <c r="V58" s="121" t="n">
        <f aca="false">IF(AND(YEAR(V$3)=YEAR(Inputs!$B$21),MONTH(V$3)=MONTH(Inputs!$B$21)),Inputs!$B$22,0)</f>
        <v>0</v>
      </c>
    </row>
    <row r="59" customFormat="false" ht="15" hidden="false" customHeight="false" outlineLevel="1" collapsed="false">
      <c r="A59" s="99" t="s">
        <v>931</v>
      </c>
      <c r="C59" s="121" t="n">
        <f aca="false">IF(AND(C$3&gt;=Inputs!$B$25,C$3&lt;EDATE(Inputs!$B$25,Inputs!$B$26)),Inputs!$B$27/Inputs!$B$26,0)</f>
        <v>0</v>
      </c>
      <c r="D59" s="121" t="n">
        <f aca="false">IF(AND(D$3&gt;=Inputs!$B$25,D$3&lt;EDATE(Inputs!$B$25,Inputs!$B$26)),Inputs!$B$27/Inputs!$B$26,0)</f>
        <v>0</v>
      </c>
      <c r="E59" s="121" t="n">
        <f aca="false">IF(AND(E$3&gt;=Inputs!$B$25,E$3&lt;EDATE(Inputs!$B$25,Inputs!$B$26)),Inputs!$B$27/Inputs!$B$26,0)</f>
        <v>0</v>
      </c>
      <c r="F59" s="121" t="n">
        <f aca="false">IF(AND(F$3&gt;=Inputs!$B$25,F$3&lt;EDATE(Inputs!$B$25,Inputs!$B$26)),Inputs!$B$27/Inputs!$B$26,0)</f>
        <v>0</v>
      </c>
      <c r="G59" s="121" t="n">
        <f aca="false">IF(AND(G$3&gt;=Inputs!$B$25,G$3&lt;EDATE(Inputs!$B$25,Inputs!$B$26)),Inputs!$B$27/Inputs!$B$26,0)</f>
        <v>0</v>
      </c>
      <c r="H59" s="121" t="n">
        <f aca="false">IF(AND(H$3&gt;=Inputs!$B$25,H$3&lt;EDATE(Inputs!$B$25,Inputs!$B$26)),Inputs!$B$27/Inputs!$B$26,0)</f>
        <v>0</v>
      </c>
      <c r="I59" s="121" t="n">
        <f aca="false">IF(AND(I$3&gt;=Inputs!$B$25,I$3&lt;EDATE(Inputs!$B$25,Inputs!$B$26)),Inputs!$B$27/Inputs!$B$26,0)</f>
        <v>0</v>
      </c>
      <c r="J59" s="121" t="n">
        <f aca="false">IF(AND(J$3&gt;=Inputs!$B$25,J$3&lt;EDATE(Inputs!$B$25,Inputs!$B$26)),Inputs!$B$27/Inputs!$B$26,0)</f>
        <v>0</v>
      </c>
      <c r="K59" s="121" t="n">
        <f aca="false">IF(AND(K$3&gt;=Inputs!$B$25,K$3&lt;EDATE(Inputs!$B$25,Inputs!$B$26)),Inputs!$B$27/Inputs!$B$26,0)</f>
        <v>0</v>
      </c>
      <c r="L59" s="121" t="n">
        <f aca="false">IF(AND(L$3&gt;=Inputs!$B$25,L$3&lt;EDATE(Inputs!$B$25,Inputs!$B$26)),Inputs!$B$27/Inputs!$B$26,0)</f>
        <v>0</v>
      </c>
      <c r="M59" s="121" t="n">
        <f aca="false">IF(AND(M$3&gt;=Inputs!$B$25,M$3&lt;EDATE(Inputs!$B$25,Inputs!$B$26)),Inputs!$B$27/Inputs!$B$26,0)</f>
        <v>0</v>
      </c>
      <c r="N59" s="121" t="n">
        <f aca="false">IF(AND(N$3&gt;=Inputs!$B$25,N$3&lt;EDATE(Inputs!$B$25,Inputs!$B$26)),Inputs!$B$27/Inputs!$B$26,0)</f>
        <v>0</v>
      </c>
      <c r="O59" s="121" t="n">
        <f aca="false">IF(AND(O$3&gt;=Inputs!$B$25,O$3&lt;EDATE(Inputs!$B$25,Inputs!$B$26)),Inputs!$B$27/Inputs!$B$26,0)</f>
        <v>0</v>
      </c>
      <c r="P59" s="121" t="n">
        <f aca="false">IF(AND(P$3&gt;=Inputs!$B$25,P$3&lt;EDATE(Inputs!$B$25,Inputs!$B$26)),Inputs!$B$27/Inputs!$B$26,0)</f>
        <v>0</v>
      </c>
      <c r="Q59" s="121" t="n">
        <f aca="false">IF(AND(Q$3&gt;=Inputs!$B$25,Q$3&lt;EDATE(Inputs!$B$25,Inputs!$B$26)),Inputs!$B$27/Inputs!$B$26,0)</f>
        <v>0</v>
      </c>
      <c r="R59" s="121" t="n">
        <f aca="false">IF(AND(R$3&gt;=Inputs!$B$25,R$3&lt;EDATE(Inputs!$B$25,Inputs!$B$26)),Inputs!$B$27/Inputs!$B$26,0)</f>
        <v>0</v>
      </c>
      <c r="S59" s="121" t="n">
        <f aca="false">IF(AND(S$3&gt;=Inputs!$B$25,S$3&lt;EDATE(Inputs!$B$25,Inputs!$B$26)),Inputs!$B$27/Inputs!$B$26,0)</f>
        <v>0</v>
      </c>
      <c r="T59" s="121" t="n">
        <f aca="false">IF(AND(T$3&gt;=Inputs!$B$25,T$3&lt;EDATE(Inputs!$B$25,Inputs!$B$26)),Inputs!$B$27/Inputs!$B$26,0)</f>
        <v>0</v>
      </c>
      <c r="U59" s="121" t="n">
        <f aca="false">IF(AND(U$3&gt;=Inputs!$B$25,U$3&lt;EDATE(Inputs!$B$25,Inputs!$B$26)),Inputs!$B$27/Inputs!$B$26,0)</f>
        <v>0</v>
      </c>
      <c r="V59" s="121" t="n">
        <f aca="false">IF(AND(V$3&gt;=Inputs!$B$25,V$3&lt;EDATE(Inputs!$B$25,Inputs!$B$26)),Inputs!$B$27/Inputs!$B$26,0)</f>
        <v>0</v>
      </c>
    </row>
    <row r="60" customFormat="false" ht="15" hidden="false" customHeight="false" outlineLevel="1" collapsed="false">
      <c r="A60" s="99" t="s">
        <v>320</v>
      </c>
      <c r="C60" s="121" t="n">
        <f aca="false">IF(OR(C61&gt;0,C$3&lt;Inputs!$B$31),0,Inputs!$B$32*MAX(0,MIN(1,Inputs!$B$29*12/52-((YEAR(C$3)-YEAR(Inputs!$B$31))*12+MONTH(C$3)-MONTH(Inputs!$B$31)))))</f>
        <v>0</v>
      </c>
      <c r="D60" s="121" t="n">
        <f aca="false">IF(OR(D61&gt;0,D$3&lt;Inputs!$B$31),0,Inputs!$B$32*MAX(0,MIN(1,Inputs!$B$29*12/52-((YEAR(D$3)-YEAR(Inputs!$B$31))*12+MONTH(D$3)-MONTH(Inputs!$B$31)))))</f>
        <v>0</v>
      </c>
      <c r="E60" s="121" t="n">
        <f aca="false">IF(OR(E61&gt;0,E$3&lt;Inputs!$B$31),0,Inputs!$B$32*MAX(0,MIN(1,Inputs!$B$29*12/52-((YEAR(E$3)-YEAR(Inputs!$B$31))*12+MONTH(E$3)-MONTH(Inputs!$B$31)))))</f>
        <v>0</v>
      </c>
      <c r="F60" s="121" t="n">
        <f aca="false">IF(OR(F61&gt;0,F$3&lt;Inputs!$B$31),0,Inputs!$B$32*MAX(0,MIN(1,Inputs!$B$29*12/52-((YEAR(F$3)-YEAR(Inputs!$B$31))*12+MONTH(F$3)-MONTH(Inputs!$B$31)))))</f>
        <v>0</v>
      </c>
      <c r="G60" s="121" t="n">
        <f aca="false">IF(OR(G61&gt;0,G$3&lt;Inputs!$B$31),0,Inputs!$B$32*MAX(0,MIN(1,Inputs!$B$29*12/52-((YEAR(G$3)-YEAR(Inputs!$B$31))*12+MONTH(G$3)-MONTH(Inputs!$B$31)))))</f>
        <v>0</v>
      </c>
      <c r="H60" s="121" t="n">
        <f aca="false">IF(OR(H61&gt;0,H$3&lt;Inputs!$B$31),0,Inputs!$B$32*MAX(0,MIN(1,Inputs!$B$29*12/52-((YEAR(H$3)-YEAR(Inputs!$B$31))*12+MONTH(H$3)-MONTH(Inputs!$B$31)))))</f>
        <v>0</v>
      </c>
      <c r="I60" s="121" t="n">
        <f aca="false">IF(OR(I61&gt;0,I$3&lt;Inputs!$B$31),0,Inputs!$B$32*MAX(0,MIN(1,Inputs!$B$29*12/52-((YEAR(I$3)-YEAR(Inputs!$B$31))*12+MONTH(I$3)-MONTH(Inputs!$B$31)))))</f>
        <v>0</v>
      </c>
      <c r="J60" s="121" t="n">
        <f aca="false">IF(OR(J61&gt;0,J$3&lt;Inputs!$B$31),0,Inputs!$B$32*MAX(0,MIN(1,Inputs!$B$29*12/52-((YEAR(J$3)-YEAR(Inputs!$B$31))*12+MONTH(J$3)-MONTH(Inputs!$B$31)))))</f>
        <v>0</v>
      </c>
      <c r="K60" s="121" t="n">
        <f aca="false">IF(OR(K61&gt;0,K$3&lt;Inputs!$B$31),0,Inputs!$B$32*MAX(0,MIN(1,Inputs!$B$29*12/52-((YEAR(K$3)-YEAR(Inputs!$B$31))*12+MONTH(K$3)-MONTH(Inputs!$B$31)))))</f>
        <v>0</v>
      </c>
      <c r="L60" s="121" t="n">
        <f aca="false">IF(OR(L61&gt;0,L$3&lt;Inputs!$B$31),0,Inputs!$B$32*MAX(0,MIN(1,Inputs!$B$29*12/52-((YEAR(L$3)-YEAR(Inputs!$B$31))*12+MONTH(L$3)-MONTH(Inputs!$B$31)))))</f>
        <v>0</v>
      </c>
      <c r="M60" s="121" t="n">
        <f aca="false">IF(OR(M61&gt;0,M$3&lt;Inputs!$B$31),0,Inputs!$B$32*MAX(0,MIN(1,Inputs!$B$29*12/52-((YEAR(M$3)-YEAR(Inputs!$B$31))*12+MONTH(M$3)-MONTH(Inputs!$B$31)))))</f>
        <v>0</v>
      </c>
      <c r="N60" s="121" t="n">
        <f aca="false">IF(OR(N61&gt;0,N$3&lt;Inputs!$B$31),0,Inputs!$B$32*MAX(0,MIN(1,Inputs!$B$29*12/52-((YEAR(N$3)-YEAR(Inputs!$B$31))*12+MONTH(N$3)-MONTH(Inputs!$B$31)))))</f>
        <v>0</v>
      </c>
      <c r="O60" s="121" t="n">
        <f aca="false">IF(OR(O61&gt;0,O$3&lt;Inputs!$B$31),0,Inputs!$B$32*MAX(0,MIN(1,Inputs!$B$29*12/52-((YEAR(O$3)-YEAR(Inputs!$B$31))*12+MONTH(O$3)-MONTH(Inputs!$B$31)))))</f>
        <v>0</v>
      </c>
      <c r="P60" s="121" t="n">
        <f aca="false">IF(OR(P61&gt;0,P$3&lt;Inputs!$B$31),0,Inputs!$B$32*MAX(0,MIN(1,Inputs!$B$29*12/52-((YEAR(P$3)-YEAR(Inputs!$B$31))*12+MONTH(P$3)-MONTH(Inputs!$B$31)))))</f>
        <v>0</v>
      </c>
      <c r="Q60" s="121" t="n">
        <f aca="false">IF(OR(Q61&gt;0,Q$3&lt;Inputs!$B$31),0,Inputs!$B$32*MAX(0,MIN(1,Inputs!$B$29*12/52-((YEAR(Q$3)-YEAR(Inputs!$B$31))*12+MONTH(Q$3)-MONTH(Inputs!$B$31)))))</f>
        <v>0</v>
      </c>
      <c r="R60" s="121" t="n">
        <f aca="false">IF(OR(R61&gt;0,R$3&lt;Inputs!$B$31),0,Inputs!$B$32*MAX(0,MIN(1,Inputs!$B$29*12/52-((YEAR(R$3)-YEAR(Inputs!$B$31))*12+MONTH(R$3)-MONTH(Inputs!$B$31)))))</f>
        <v>0</v>
      </c>
      <c r="S60" s="121" t="n">
        <f aca="false">IF(OR(S61&gt;0,S$3&lt;Inputs!$B$31),0,Inputs!$B$32*MAX(0,MIN(1,Inputs!$B$29*12/52-((YEAR(S$3)-YEAR(Inputs!$B$31))*12+MONTH(S$3)-MONTH(Inputs!$B$31)))))</f>
        <v>0</v>
      </c>
      <c r="T60" s="121" t="n">
        <f aca="false">IF(OR(T61&gt;0,T$3&lt;Inputs!$B$31),0,Inputs!$B$32*MAX(0,MIN(1,Inputs!$B$29*12/52-((YEAR(T$3)-YEAR(Inputs!$B$31))*12+MONTH(T$3)-MONTH(Inputs!$B$31)))))</f>
        <v>0</v>
      </c>
      <c r="U60" s="121" t="n">
        <f aca="false">IF(OR(U61&gt;0,U$3&lt;Inputs!$B$31),0,Inputs!$B$32*MAX(0,MIN(1,Inputs!$B$29*12/52-((YEAR(U$3)-YEAR(Inputs!$B$31))*12+MONTH(U$3)-MONTH(Inputs!$B$31)))))</f>
        <v>0</v>
      </c>
      <c r="V60" s="121" t="n">
        <f aca="false">IF(OR(V61&gt;0,V$3&lt;Inputs!$B$31),0,Inputs!$B$32*MAX(0,MIN(1,Inputs!$B$29*12/52-((YEAR(V$3)-YEAR(Inputs!$B$31))*12+MONTH(V$3)-MONTH(Inputs!$B$31)))))</f>
        <v>0</v>
      </c>
    </row>
    <row r="61" customFormat="false" ht="15" hidden="false" customHeight="false" outlineLevel="1" collapsed="false">
      <c r="A61" s="99" t="s">
        <v>932</v>
      </c>
      <c r="C61" s="121" t="n">
        <f aca="false">IF(AND(N(Inputs!$D$62)&gt;0,C$4&gt;=Inputs!$D$62),N(Inputs!$D$63)*Inputs!$D$64/12,0)</f>
        <v>0</v>
      </c>
      <c r="D61" s="121" t="n">
        <f aca="false">IF(AND(N(Inputs!$D$62)&gt;0,D$4&gt;=Inputs!$D$62),N(Inputs!$D$63)*Inputs!$D$64/12,0)</f>
        <v>0</v>
      </c>
      <c r="E61" s="121" t="n">
        <f aca="false">IF(AND(N(Inputs!$D$62)&gt;0,E$4&gt;=Inputs!$D$62),N(Inputs!$D$63)*Inputs!$D$64/12,0)</f>
        <v>0</v>
      </c>
      <c r="F61" s="121" t="n">
        <f aca="false">IF(AND(N(Inputs!$D$62)&gt;0,F$4&gt;=Inputs!$D$62),N(Inputs!$D$63)*Inputs!$D$64/12,0)</f>
        <v>0</v>
      </c>
      <c r="G61" s="121" t="n">
        <f aca="false">IF(AND(N(Inputs!$D$62)&gt;0,G$4&gt;=Inputs!$D$62),N(Inputs!$D$63)*Inputs!$D$64/12,0)</f>
        <v>0</v>
      </c>
      <c r="H61" s="121" t="n">
        <f aca="false">IF(AND(N(Inputs!$D$62)&gt;0,H$4&gt;=Inputs!$D$62),N(Inputs!$D$63)*Inputs!$D$64/12,0)</f>
        <v>0</v>
      </c>
      <c r="I61" s="121" t="n">
        <f aca="false">IF(AND(N(Inputs!$D$62)&gt;0,I$4&gt;=Inputs!$D$62),N(Inputs!$D$63)*Inputs!$D$64/12,0)</f>
        <v>0</v>
      </c>
      <c r="J61" s="121" t="n">
        <f aca="false">IF(AND(N(Inputs!$D$62)&gt;0,J$4&gt;=Inputs!$D$62),N(Inputs!$D$63)*Inputs!$D$64/12,0)</f>
        <v>0</v>
      </c>
      <c r="K61" s="121" t="n">
        <f aca="false">IF(AND(N(Inputs!$D$62)&gt;0,K$4&gt;=Inputs!$D$62),N(Inputs!$D$63)*Inputs!$D$64/12,0)</f>
        <v>0</v>
      </c>
      <c r="L61" s="121" t="n">
        <f aca="false">IF(AND(N(Inputs!$D$62)&gt;0,L$4&gt;=Inputs!$D$62),N(Inputs!$D$63)*Inputs!$D$64/12,0)</f>
        <v>0</v>
      </c>
      <c r="M61" s="121" t="n">
        <f aca="false">IF(AND(N(Inputs!$D$62)&gt;0,M$4&gt;=Inputs!$D$62),N(Inputs!$D$63)*Inputs!$D$64/12,0)</f>
        <v>0</v>
      </c>
      <c r="N61" s="121" t="n">
        <f aca="false">IF(AND(N(Inputs!$D$62)&gt;0,N$4&gt;=Inputs!$D$62),N(Inputs!$D$63)*Inputs!$D$64/12,0)</f>
        <v>0</v>
      </c>
      <c r="O61" s="121" t="n">
        <f aca="false">IF(AND(N(Inputs!$D$62)&gt;0,O$4&gt;=Inputs!$D$62),N(Inputs!$D$63)*Inputs!$D$64/12,0)</f>
        <v>0</v>
      </c>
      <c r="P61" s="121" t="n">
        <f aca="false">IF(AND(N(Inputs!$D$62)&gt;0,P$4&gt;=Inputs!$D$62),N(Inputs!$D$63)*Inputs!$D$64/12,0)</f>
        <v>0</v>
      </c>
      <c r="Q61" s="121" t="n">
        <f aca="false">IF(AND(N(Inputs!$D$62)&gt;0,Q$4&gt;=Inputs!$D$62),N(Inputs!$D$63)*Inputs!$D$64/12,0)</f>
        <v>0</v>
      </c>
      <c r="R61" s="121" t="n">
        <f aca="false">IF(AND(N(Inputs!$D$62)&gt;0,R$4&gt;=Inputs!$D$62),N(Inputs!$D$63)*Inputs!$D$64/12,0)</f>
        <v>0</v>
      </c>
      <c r="S61" s="121" t="n">
        <f aca="false">IF(AND(N(Inputs!$D$62)&gt;0,S$4&gt;=Inputs!$D$62),N(Inputs!$D$63)*Inputs!$D$64/12,0)</f>
        <v>0</v>
      </c>
      <c r="T61" s="121" t="n">
        <f aca="false">IF(AND(N(Inputs!$D$62)&gt;0,T$4&gt;=Inputs!$D$62),N(Inputs!$D$63)*Inputs!$D$64/12,0)</f>
        <v>0</v>
      </c>
      <c r="U61" s="121" t="n">
        <f aca="false">IF(AND(N(Inputs!$D$62)&gt;0,U$4&gt;=Inputs!$D$62),N(Inputs!$D$63)*Inputs!$D$64/12,0)</f>
        <v>0</v>
      </c>
      <c r="V61" s="121" t="n">
        <f aca="false">IF(AND(N(Inputs!$D$62)&gt;0,V$4&gt;=Inputs!$D$62),N(Inputs!$D$63)*Inputs!$D$64/12,0)</f>
        <v>0</v>
      </c>
    </row>
    <row r="62" customFormat="false" ht="15" hidden="false" customHeight="false" outlineLevel="1" collapsed="false">
      <c r="A62" s="99" t="s">
        <v>312</v>
      </c>
      <c r="C62" s="121" t="n">
        <f aca="false">Inputs!$B$44*C$7+Inputs!$B$46*C$8+IF(AND(Inputs!$D$65&lt;&gt;"",C$3&gt;=Inputs!$D$65),Inputs!$B$49*Inputs!$D$66*52/12*Inputs!$B$50,0)</f>
        <v>0</v>
      </c>
      <c r="D62" s="121" t="n">
        <f aca="false">Inputs!$B$44*D$7+Inputs!$B$46*D$8+IF(AND(Inputs!$D$65&lt;&gt;"",D$3&gt;=Inputs!$D$65),Inputs!$B$49*Inputs!$D$66*52/12*Inputs!$B$50,0)</f>
        <v>0</v>
      </c>
      <c r="E62" s="121" t="n">
        <f aca="false">Inputs!$B$44*E$7+Inputs!$B$46*E$8+IF(AND(Inputs!$D$65&lt;&gt;"",E$3&gt;=Inputs!$D$65),Inputs!$B$49*Inputs!$D$66*52/12*Inputs!$B$50,0)</f>
        <v>0</v>
      </c>
      <c r="F62" s="121" t="n">
        <f aca="false">Inputs!$B$44*F$7+Inputs!$B$46*F$8+IF(AND(Inputs!$D$65&lt;&gt;"",F$3&gt;=Inputs!$D$65),Inputs!$B$49*Inputs!$D$66*52/12*Inputs!$B$50,0)</f>
        <v>0</v>
      </c>
      <c r="G62" s="121" t="n">
        <f aca="false">Inputs!$B$44*G$7+Inputs!$B$46*G$8+IF(AND(Inputs!$D$65&lt;&gt;"",G$3&gt;=Inputs!$D$65),Inputs!$B$49*Inputs!$D$66*52/12*Inputs!$B$50,0)</f>
        <v>0</v>
      </c>
      <c r="H62" s="121" t="n">
        <f aca="false">Inputs!$B$44*H$7+Inputs!$B$46*H$8+IF(AND(Inputs!$D$65&lt;&gt;"",H$3&gt;=Inputs!$D$65),Inputs!$B$49*Inputs!$D$66*52/12*Inputs!$B$50,0)</f>
        <v>0</v>
      </c>
      <c r="I62" s="121" t="n">
        <f aca="false">Inputs!$B$44*I$7+Inputs!$B$46*I$8+IF(AND(Inputs!$D$65&lt;&gt;"",I$3&gt;=Inputs!$D$65),Inputs!$B$49*Inputs!$D$66*52/12*Inputs!$B$50,0)</f>
        <v>0</v>
      </c>
      <c r="J62" s="121" t="n">
        <f aca="false">Inputs!$B$44*J$7+Inputs!$B$46*J$8+IF(AND(Inputs!$D$65&lt;&gt;"",J$3&gt;=Inputs!$D$65),Inputs!$B$49*Inputs!$D$66*52/12*Inputs!$B$50,0)</f>
        <v>0</v>
      </c>
      <c r="K62" s="121" t="n">
        <f aca="false">Inputs!$B$44*K$7+Inputs!$B$46*K$8+IF(AND(Inputs!$D$65&lt;&gt;"",K$3&gt;=Inputs!$D$65),Inputs!$B$49*Inputs!$D$66*52/12*Inputs!$B$50,0)</f>
        <v>0</v>
      </c>
      <c r="L62" s="121" t="n">
        <f aca="false">Inputs!$B$44*L$7+Inputs!$B$46*L$8+IF(AND(Inputs!$D$65&lt;&gt;"",L$3&gt;=Inputs!$D$65),Inputs!$B$49*Inputs!$D$66*52/12*Inputs!$B$50,0)</f>
        <v>0</v>
      </c>
      <c r="M62" s="121" t="n">
        <f aca="false">Inputs!$B$44*M$7+Inputs!$B$46*M$8+IF(AND(Inputs!$D$65&lt;&gt;"",M$3&gt;=Inputs!$D$65),Inputs!$B$49*Inputs!$D$66*52/12*Inputs!$B$50,0)</f>
        <v>0</v>
      </c>
      <c r="N62" s="121" t="n">
        <f aca="false">Inputs!$B$44*N$7+Inputs!$B$46*N$8+IF(AND(Inputs!$D$65&lt;&gt;"",N$3&gt;=Inputs!$D$65),Inputs!$B$49*Inputs!$D$66*52/12*Inputs!$B$50,0)</f>
        <v>0</v>
      </c>
      <c r="O62" s="121" t="n">
        <f aca="false">Inputs!$B$44*O$7+Inputs!$B$46*O$8+IF(AND(Inputs!$D$65&lt;&gt;"",O$3&gt;=Inputs!$D$65),Inputs!$B$49*Inputs!$D$66*52/12*Inputs!$B$50,0)</f>
        <v>0</v>
      </c>
      <c r="P62" s="121" t="n">
        <f aca="false">Inputs!$B$44*P$7+Inputs!$B$46*P$8+IF(AND(Inputs!$D$65&lt;&gt;"",P$3&gt;=Inputs!$D$65),Inputs!$B$49*Inputs!$D$66*52/12*Inputs!$B$50,0)</f>
        <v>0</v>
      </c>
      <c r="Q62" s="121" t="n">
        <f aca="false">Inputs!$B$44*Q$7+Inputs!$B$46*Q$8+IF(AND(Inputs!$D$65&lt;&gt;"",Q$3&gt;=Inputs!$D$65),Inputs!$B$49*Inputs!$D$66*52/12*Inputs!$B$50,0)</f>
        <v>0</v>
      </c>
      <c r="R62" s="121" t="n">
        <f aca="false">Inputs!$B$44*R$7+Inputs!$B$46*R$8+IF(AND(Inputs!$D$65&lt;&gt;"",R$3&gt;=Inputs!$D$65),Inputs!$B$49*Inputs!$D$66*52/12*Inputs!$B$50,0)</f>
        <v>0</v>
      </c>
      <c r="S62" s="121" t="n">
        <f aca="false">Inputs!$B$44*S$7+Inputs!$B$46*S$8+IF(AND(Inputs!$D$65&lt;&gt;"",S$3&gt;=Inputs!$D$65),Inputs!$B$49*Inputs!$D$66*52/12*Inputs!$B$50,0)</f>
        <v>0</v>
      </c>
      <c r="T62" s="121" t="n">
        <f aca="false">Inputs!$B$44*T$7+Inputs!$B$46*T$8+IF(AND(Inputs!$D$65&lt;&gt;"",T$3&gt;=Inputs!$D$65),Inputs!$B$49*Inputs!$D$66*52/12*Inputs!$B$50,0)</f>
        <v>0</v>
      </c>
      <c r="U62" s="121" t="n">
        <f aca="false">Inputs!$B$44*U$7+Inputs!$B$46*U$8+IF(AND(Inputs!$D$65&lt;&gt;"",U$3&gt;=Inputs!$D$65),Inputs!$B$49*Inputs!$D$66*52/12*Inputs!$B$50,0)</f>
        <v>0</v>
      </c>
      <c r="V62" s="121" t="n">
        <f aca="false">Inputs!$B$44*V$7+Inputs!$B$46*V$8+IF(AND(Inputs!$D$65&lt;&gt;"",V$3&gt;=Inputs!$D$65),Inputs!$B$49*Inputs!$D$66*52/12*Inputs!$B$50,0)</f>
        <v>0</v>
      </c>
    </row>
    <row r="63" customFormat="false" ht="15" hidden="false" customHeight="false" outlineLevel="1" collapsed="false">
      <c r="A63" s="99" t="s">
        <v>933</v>
      </c>
      <c r="C63" s="126" t="n">
        <f aca="false">C$11</f>
        <v>0</v>
      </c>
      <c r="D63" s="126" t="n">
        <f aca="false">D$11</f>
        <v>0</v>
      </c>
      <c r="E63" s="126" t="n">
        <f aca="false">E$11</f>
        <v>0</v>
      </c>
      <c r="F63" s="126" t="n">
        <f aca="false">F$11</f>
        <v>0</v>
      </c>
      <c r="G63" s="126" t="n">
        <f aca="false">G$11</f>
        <v>0</v>
      </c>
      <c r="H63" s="126" t="n">
        <f aca="false">H$11</f>
        <v>0</v>
      </c>
      <c r="I63" s="126" t="n">
        <f aca="false">I$11</f>
        <v>0</v>
      </c>
      <c r="J63" s="126" t="n">
        <f aca="false">J$11</f>
        <v>0</v>
      </c>
      <c r="K63" s="126" t="n">
        <f aca="false">K$11</f>
        <v>0</v>
      </c>
      <c r="L63" s="126" t="n">
        <f aca="false">L$11</f>
        <v>0</v>
      </c>
      <c r="M63" s="126" t="n">
        <f aca="false">M$11</f>
        <v>0</v>
      </c>
      <c r="N63" s="126" t="n">
        <f aca="false">N$11</f>
        <v>0</v>
      </c>
      <c r="O63" s="126" t="n">
        <f aca="false">O$11</f>
        <v>0</v>
      </c>
      <c r="P63" s="126" t="n">
        <f aca="false">P$11</f>
        <v>0</v>
      </c>
      <c r="Q63" s="126" t="n">
        <f aca="false">Q$11</f>
        <v>0</v>
      </c>
      <c r="R63" s="126" t="n">
        <f aca="false">R$11</f>
        <v>0</v>
      </c>
      <c r="S63" s="126" t="n">
        <f aca="false">S$11</f>
        <v>0</v>
      </c>
      <c r="T63" s="126" t="n">
        <f aca="false">T$11</f>
        <v>0</v>
      </c>
      <c r="U63" s="126" t="n">
        <f aca="false">U$11</f>
        <v>0</v>
      </c>
      <c r="V63" s="126" t="n">
        <f aca="false">V$11</f>
        <v>0</v>
      </c>
    </row>
    <row r="64" customFormat="false" ht="15" hidden="false" customHeight="false" outlineLevel="0" collapsed="false">
      <c r="A64" s="174" t="s">
        <v>934</v>
      </c>
      <c r="C64" s="181" t="n">
        <f aca="false">SUM(C57:C63)</f>
        <v>0</v>
      </c>
      <c r="D64" s="181" t="n">
        <f aca="false">SUM(D57:D63)</f>
        <v>0</v>
      </c>
      <c r="E64" s="181" t="n">
        <f aca="false">SUM(E57:E63)</f>
        <v>0</v>
      </c>
      <c r="F64" s="181" t="n">
        <f aca="false">SUM(F57:F63)</f>
        <v>0</v>
      </c>
      <c r="G64" s="181" t="n">
        <f aca="false">SUM(G57:G63)</f>
        <v>0</v>
      </c>
      <c r="H64" s="181" t="n">
        <f aca="false">SUM(H57:H63)</f>
        <v>0</v>
      </c>
      <c r="I64" s="181" t="n">
        <f aca="false">SUM(I57:I63)</f>
        <v>0</v>
      </c>
      <c r="J64" s="181" t="n">
        <f aca="false">SUM(J57:J63)</f>
        <v>0</v>
      </c>
      <c r="K64" s="181" t="n">
        <f aca="false">SUM(K57:K63)</f>
        <v>0</v>
      </c>
      <c r="L64" s="181" t="n">
        <f aca="false">SUM(L57:L63)</f>
        <v>0</v>
      </c>
      <c r="M64" s="181" t="n">
        <f aca="false">SUM(M57:M63)</f>
        <v>0</v>
      </c>
      <c r="N64" s="181" t="n">
        <f aca="false">SUM(N57:N63)</f>
        <v>0</v>
      </c>
      <c r="O64" s="181" t="n">
        <f aca="false">SUM(O57:O63)</f>
        <v>0</v>
      </c>
      <c r="P64" s="181" t="n">
        <f aca="false">SUM(P57:P63)</f>
        <v>0</v>
      </c>
      <c r="Q64" s="181" t="n">
        <f aca="false">SUM(Q57:Q63)</f>
        <v>0</v>
      </c>
      <c r="R64" s="181" t="n">
        <f aca="false">SUM(R57:R63)</f>
        <v>0</v>
      </c>
      <c r="S64" s="181" t="n">
        <f aca="false">SUM(S57:S63)</f>
        <v>0</v>
      </c>
      <c r="T64" s="181" t="n">
        <f aca="false">SUM(T57:T63)</f>
        <v>0</v>
      </c>
      <c r="U64" s="181" t="n">
        <f aca="false">SUM(U57:U63)</f>
        <v>0</v>
      </c>
      <c r="V64" s="181" t="n">
        <f aca="false">SUM(V57:V63)</f>
        <v>0</v>
      </c>
    </row>
    <row r="65" customFormat="false" ht="15" hidden="false" customHeight="false" outlineLevel="0" collapsed="false">
      <c r="A65" s="180" t="s">
        <v>935</v>
      </c>
    </row>
    <row r="66" customFormat="false" ht="15" hidden="false" customHeight="false" outlineLevel="1" collapsed="false">
      <c r="A66" s="99" t="s">
        <v>936</v>
      </c>
      <c r="C66" s="121" t="n">
        <f aca="false">IF(C$4&lt;=0,Budget!$K$36,INDEX(Budget!$K$36:$M$36,1,Inputs!$D$68))</f>
        <v>0</v>
      </c>
      <c r="D66" s="121" t="n">
        <f aca="false">IF(D$4&lt;=0,Budget!$K$36,INDEX(Budget!$K$36:$M$36,1,Inputs!$D$68))</f>
        <v>0</v>
      </c>
      <c r="E66" s="121" t="n">
        <f aca="false">IF(E$4&lt;=0,Budget!$K$36,INDEX(Budget!$K$36:$M$36,1,Inputs!$D$68))</f>
        <v>0</v>
      </c>
      <c r="F66" s="121" t="n">
        <f aca="false">IF(F$4&lt;=0,Budget!$K$36,INDEX(Budget!$K$36:$M$36,1,Inputs!$D$68))</f>
        <v>0</v>
      </c>
      <c r="G66" s="121" t="n">
        <f aca="false">IF(G$4&lt;=0,Budget!$K$36,INDEX(Budget!$K$36:$M$36,1,Inputs!$D$68))</f>
        <v>0</v>
      </c>
      <c r="H66" s="121" t="n">
        <f aca="false">IF(H$4&lt;=0,Budget!$K$36,INDEX(Budget!$K$36:$M$36,1,Inputs!$D$68))</f>
        <v>0</v>
      </c>
      <c r="I66" s="121" t="n">
        <f aca="false">IF(I$4&lt;=0,Budget!$K$36,INDEX(Budget!$K$36:$M$36,1,Inputs!$D$68))</f>
        <v>0</v>
      </c>
      <c r="J66" s="121" t="n">
        <f aca="false">IF(J$4&lt;=0,Budget!$K$36,INDEX(Budget!$K$36:$M$36,1,Inputs!$D$68))</f>
        <v>0</v>
      </c>
      <c r="K66" s="121" t="n">
        <f aca="false">IF(K$4&lt;=0,Budget!$K$36,INDEX(Budget!$K$36:$M$36,1,Inputs!$D$68))</f>
        <v>0</v>
      </c>
      <c r="L66" s="121" t="n">
        <f aca="false">IF(L$4&lt;=0,Budget!$K$36,INDEX(Budget!$K$36:$M$36,1,Inputs!$D$68))</f>
        <v>0</v>
      </c>
      <c r="M66" s="121" t="n">
        <f aca="false">IF(M$4&lt;=0,Budget!$K$36,INDEX(Budget!$K$36:$M$36,1,Inputs!$D$68))</f>
        <v>0</v>
      </c>
      <c r="N66" s="121" t="n">
        <f aca="false">IF(N$4&lt;=0,Budget!$K$36,INDEX(Budget!$K$36:$M$36,1,Inputs!$D$68))</f>
        <v>0</v>
      </c>
      <c r="O66" s="121" t="n">
        <f aca="false">IF(O$4&lt;=0,Budget!$K$36,INDEX(Budget!$K$36:$M$36,1,Inputs!$D$68))</f>
        <v>0</v>
      </c>
      <c r="P66" s="121" t="n">
        <f aca="false">IF(P$4&lt;=0,Budget!$K$36,INDEX(Budget!$K$36:$M$36,1,Inputs!$D$68))</f>
        <v>0</v>
      </c>
      <c r="Q66" s="121" t="n">
        <f aca="false">IF(Q$4&lt;=0,Budget!$K$36,INDEX(Budget!$K$36:$M$36,1,Inputs!$D$68))</f>
        <v>0</v>
      </c>
      <c r="R66" s="121" t="n">
        <f aca="false">IF(R$4&lt;=0,Budget!$K$36,INDEX(Budget!$K$36:$M$36,1,Inputs!$D$68))</f>
        <v>0</v>
      </c>
      <c r="S66" s="121" t="n">
        <f aca="false">IF(S$4&lt;=0,Budget!$K$36,INDEX(Budget!$K$36:$M$36,1,Inputs!$D$68))</f>
        <v>0</v>
      </c>
      <c r="T66" s="121" t="n">
        <f aca="false">IF(T$4&lt;=0,Budget!$K$36,INDEX(Budget!$K$36:$M$36,1,Inputs!$D$68))</f>
        <v>0</v>
      </c>
      <c r="U66" s="121" t="n">
        <f aca="false">IF(U$4&lt;=0,Budget!$K$36,INDEX(Budget!$K$36:$M$36,1,Inputs!$D$68))</f>
        <v>0</v>
      </c>
      <c r="V66" s="121" t="n">
        <f aca="false">IF(V$4&lt;=0,Budget!$K$36,INDEX(Budget!$K$36:$M$36,1,Inputs!$D$68))</f>
        <v>0</v>
      </c>
    </row>
    <row r="67" customFormat="false" ht="15" hidden="false" customHeight="false" outlineLevel="1" collapsed="false">
      <c r="A67" s="99" t="s">
        <v>937</v>
      </c>
      <c r="C67" s="121" t="n">
        <f aca="false">IF(C$4&lt;=0,Budget!$K$37,INDEX(Budget!$K$37:$M$37,1,Inputs!$D$68))*IF(C$6&gt;0,Inputs!$B$54,1)</f>
        <v>0</v>
      </c>
      <c r="D67" s="121" t="n">
        <f aca="false">IF(D$4&lt;=0,Budget!$K$37,INDEX(Budget!$K$37:$M$37,1,Inputs!$D$68))*IF(D$6&gt;0,Inputs!$B$54,1)</f>
        <v>0</v>
      </c>
      <c r="E67" s="121" t="n">
        <f aca="false">IF(E$4&lt;=0,Budget!$K$37,INDEX(Budget!$K$37:$M$37,1,Inputs!$D$68))*IF(E$6&gt;0,Inputs!$B$54,1)</f>
        <v>0</v>
      </c>
      <c r="F67" s="121" t="n">
        <f aca="false">IF(F$4&lt;=0,Budget!$K$37,INDEX(Budget!$K$37:$M$37,1,Inputs!$D$68))*IF(F$6&gt;0,Inputs!$B$54,1)</f>
        <v>0</v>
      </c>
      <c r="G67" s="121" t="n">
        <f aca="false">IF(G$4&lt;=0,Budget!$K$37,INDEX(Budget!$K$37:$M$37,1,Inputs!$D$68))*IF(G$6&gt;0,Inputs!$B$54,1)</f>
        <v>0</v>
      </c>
      <c r="H67" s="121" t="n">
        <f aca="false">IF(H$4&lt;=0,Budget!$K$37,INDEX(Budget!$K$37:$M$37,1,Inputs!$D$68))*IF(H$6&gt;0,Inputs!$B$54,1)</f>
        <v>0</v>
      </c>
      <c r="I67" s="121" t="n">
        <f aca="false">IF(I$4&lt;=0,Budget!$K$37,INDEX(Budget!$K$37:$M$37,1,Inputs!$D$68))*IF(I$6&gt;0,Inputs!$B$54,1)</f>
        <v>0</v>
      </c>
      <c r="J67" s="121" t="n">
        <f aca="false">IF(J$4&lt;=0,Budget!$K$37,INDEX(Budget!$K$37:$M$37,1,Inputs!$D$68))*IF(J$6&gt;0,Inputs!$B$54,1)</f>
        <v>0</v>
      </c>
      <c r="K67" s="121" t="n">
        <f aca="false">IF(K$4&lt;=0,Budget!$K$37,INDEX(Budget!$K$37:$M$37,1,Inputs!$D$68))*IF(K$6&gt;0,Inputs!$B$54,1)</f>
        <v>0</v>
      </c>
      <c r="L67" s="121" t="n">
        <f aca="false">IF(L$4&lt;=0,Budget!$K$37,INDEX(Budget!$K$37:$M$37,1,Inputs!$D$68))*IF(L$6&gt;0,Inputs!$B$54,1)</f>
        <v>0</v>
      </c>
      <c r="M67" s="121" t="n">
        <f aca="false">IF(M$4&lt;=0,Budget!$K$37,INDEX(Budget!$K$37:$M$37,1,Inputs!$D$68))*IF(M$6&gt;0,Inputs!$B$54,1)</f>
        <v>0</v>
      </c>
      <c r="N67" s="121" t="n">
        <f aca="false">IF(N$4&lt;=0,Budget!$K$37,INDEX(Budget!$K$37:$M$37,1,Inputs!$D$68))*IF(N$6&gt;0,Inputs!$B$54,1)</f>
        <v>0</v>
      </c>
      <c r="O67" s="121" t="n">
        <f aca="false">IF(O$4&lt;=0,Budget!$K$37,INDEX(Budget!$K$37:$M$37,1,Inputs!$D$68))*IF(O$6&gt;0,Inputs!$B$54,1)</f>
        <v>0</v>
      </c>
      <c r="P67" s="121" t="n">
        <f aca="false">IF(P$4&lt;=0,Budget!$K$37,INDEX(Budget!$K$37:$M$37,1,Inputs!$D$68))*IF(P$6&gt;0,Inputs!$B$54,1)</f>
        <v>0</v>
      </c>
      <c r="Q67" s="121" t="n">
        <f aca="false">IF(Q$4&lt;=0,Budget!$K$37,INDEX(Budget!$K$37:$M$37,1,Inputs!$D$68))*IF(Q$6&gt;0,Inputs!$B$54,1)</f>
        <v>0</v>
      </c>
      <c r="R67" s="121" t="n">
        <f aca="false">IF(R$4&lt;=0,Budget!$K$37,INDEX(Budget!$K$37:$M$37,1,Inputs!$D$68))*IF(R$6&gt;0,Inputs!$B$54,1)</f>
        <v>0</v>
      </c>
      <c r="S67" s="121" t="n">
        <f aca="false">IF(S$4&lt;=0,Budget!$K$37,INDEX(Budget!$K$37:$M$37,1,Inputs!$D$68))*IF(S$6&gt;0,Inputs!$B$54,1)</f>
        <v>0</v>
      </c>
      <c r="T67" s="121" t="n">
        <f aca="false">IF(T$4&lt;=0,Budget!$K$37,INDEX(Budget!$K$37:$M$37,1,Inputs!$D$68))*IF(T$6&gt;0,Inputs!$B$54,1)</f>
        <v>0</v>
      </c>
      <c r="U67" s="121" t="n">
        <f aca="false">IF(U$4&lt;=0,Budget!$K$37,INDEX(Budget!$K$37:$M$37,1,Inputs!$D$68))*IF(U$6&gt;0,Inputs!$B$54,1)</f>
        <v>0</v>
      </c>
      <c r="V67" s="121" t="n">
        <f aca="false">IF(V$4&lt;=0,Budget!$K$37,INDEX(Budget!$K$37:$M$37,1,Inputs!$D$68))*IF(V$6&gt;0,Inputs!$B$54,1)</f>
        <v>0</v>
      </c>
    </row>
    <row r="68" customFormat="false" ht="15" hidden="false" customHeight="false" outlineLevel="1" collapsed="false">
      <c r="A68" s="99" t="s">
        <v>938</v>
      </c>
      <c r="C68" s="121" t="n">
        <f aca="false">IF(C$4&lt;1,0,IF(C61&gt;0,0,IF(C$4&lt;=12,Inputs!$B$40,IF(C$4&lt;=18,Inputs!$B$41,0))))</f>
        <v>0</v>
      </c>
      <c r="D68" s="121" t="n">
        <f aca="false">IF(D$4&lt;1,0,IF(D61&gt;0,0,IF(D$4&lt;=12,Inputs!$B$40,IF(D$4&lt;=18,Inputs!$B$41,0))))</f>
        <v>0</v>
      </c>
      <c r="E68" s="121" t="n">
        <f aca="false">IF(E$4&lt;1,0,IF(E61&gt;0,0,IF(E$4&lt;=12,Inputs!$B$40,IF(E$4&lt;=18,Inputs!$B$41,0))))</f>
        <v>0</v>
      </c>
      <c r="F68" s="121" t="n">
        <f aca="false">IF(F$4&lt;1,0,IF(F61&gt;0,0,IF(F$4&lt;=12,Inputs!$B$40,IF(F$4&lt;=18,Inputs!$B$41,0))))</f>
        <v>0</v>
      </c>
      <c r="G68" s="121" t="n">
        <f aca="false">IF(G$4&lt;1,0,IF(G61&gt;0,0,IF(G$4&lt;=12,Inputs!$B$40,IF(G$4&lt;=18,Inputs!$B$41,0))))</f>
        <v>0</v>
      </c>
      <c r="H68" s="121" t="n">
        <f aca="false">IF(H$4&lt;1,0,IF(H61&gt;0,0,IF(H$4&lt;=12,Inputs!$B$40,IF(H$4&lt;=18,Inputs!$B$41,0))))</f>
        <v>0</v>
      </c>
      <c r="I68" s="121" t="n">
        <f aca="false">IF(I$4&lt;1,0,IF(I61&gt;0,0,IF(I$4&lt;=12,Inputs!$B$40,IF(I$4&lt;=18,Inputs!$B$41,0))))</f>
        <v>0</v>
      </c>
      <c r="J68" s="121" t="n">
        <f aca="false">IF(J$4&lt;1,0,IF(J61&gt;0,0,IF(J$4&lt;=12,Inputs!$B$40,IF(J$4&lt;=18,Inputs!$B$41,0))))</f>
        <v>0</v>
      </c>
      <c r="K68" s="121" t="n">
        <f aca="false">IF(K$4&lt;1,0,IF(K61&gt;0,0,IF(K$4&lt;=12,Inputs!$B$40,IF(K$4&lt;=18,Inputs!$B$41,0))))</f>
        <v>0</v>
      </c>
      <c r="L68" s="121" t="n">
        <f aca="false">IF(L$4&lt;1,0,IF(L61&gt;0,0,IF(L$4&lt;=12,Inputs!$B$40,IF(L$4&lt;=18,Inputs!$B$41,0))))</f>
        <v>0</v>
      </c>
      <c r="M68" s="121" t="n">
        <f aca="false">IF(M$4&lt;1,0,IF(M61&gt;0,0,IF(M$4&lt;=12,Inputs!$B$40,IF(M$4&lt;=18,Inputs!$B$41,0))))</f>
        <v>0</v>
      </c>
      <c r="N68" s="121" t="n">
        <f aca="false">IF(N$4&lt;1,0,IF(N61&gt;0,0,IF(N$4&lt;=12,Inputs!$B$40,IF(N$4&lt;=18,Inputs!$B$41,0))))</f>
        <v>0</v>
      </c>
      <c r="O68" s="121" t="n">
        <f aca="false">IF(O$4&lt;1,0,IF(O61&gt;0,0,IF(O$4&lt;=12,Inputs!$B$40,IF(O$4&lt;=18,Inputs!$B$41,0))))</f>
        <v>0</v>
      </c>
      <c r="P68" s="121" t="n">
        <f aca="false">IF(P$4&lt;1,0,IF(P61&gt;0,0,IF(P$4&lt;=12,Inputs!$B$40,IF(P$4&lt;=18,Inputs!$B$41,0))))</f>
        <v>0</v>
      </c>
      <c r="Q68" s="121" t="n">
        <f aca="false">IF(Q$4&lt;1,0,IF(Q61&gt;0,0,IF(Q$4&lt;=12,Inputs!$B$40,IF(Q$4&lt;=18,Inputs!$B$41,0))))</f>
        <v>0</v>
      </c>
      <c r="R68" s="121" t="n">
        <f aca="false">IF(R$4&lt;1,0,IF(R61&gt;0,0,IF(R$4&lt;=12,Inputs!$B$40,IF(R$4&lt;=18,Inputs!$B$41,0))))</f>
        <v>0</v>
      </c>
      <c r="S68" s="121" t="n">
        <f aca="false">IF(S$4&lt;1,0,IF(S61&gt;0,0,IF(S$4&lt;=12,Inputs!$B$40,IF(S$4&lt;=18,Inputs!$B$41,0))))</f>
        <v>0</v>
      </c>
      <c r="T68" s="121" t="n">
        <f aca="false">IF(T$4&lt;1,0,IF(T61&gt;0,0,IF(T$4&lt;=12,Inputs!$B$40,IF(T$4&lt;=18,Inputs!$B$41,0))))</f>
        <v>0</v>
      </c>
      <c r="U68" s="121" t="n">
        <f aca="false">IF(U$4&lt;1,0,IF(U61&gt;0,0,IF(U$4&lt;=12,Inputs!$B$40,IF(U$4&lt;=18,Inputs!$B$41,0))))</f>
        <v>0</v>
      </c>
      <c r="V68" s="121" t="n">
        <f aca="false">IF(V$4&lt;1,0,IF(V61&gt;0,0,IF(V$4&lt;=12,Inputs!$B$40,IF(V$4&lt;=18,Inputs!$B$41,0))))</f>
        <v>0</v>
      </c>
    </row>
    <row r="69" customFormat="false" ht="15" hidden="false" customHeight="false" outlineLevel="1" collapsed="false">
      <c r="A69" s="99" t="s">
        <v>939</v>
      </c>
      <c r="C69" s="121" t="n">
        <f aca="false">Inputs!$B$53*(1+Inputs!$D$69)*C$6</f>
        <v>0</v>
      </c>
      <c r="D69" s="121" t="n">
        <f aca="false">Inputs!$B$53*(1+Inputs!$D$69)*D$6</f>
        <v>0</v>
      </c>
      <c r="E69" s="121" t="n">
        <f aca="false">Inputs!$B$53*(1+Inputs!$D$69)*E$6</f>
        <v>0</v>
      </c>
      <c r="F69" s="121" t="n">
        <f aca="false">Inputs!$B$53*(1+Inputs!$D$69)*F$6</f>
        <v>0</v>
      </c>
      <c r="G69" s="121" t="n">
        <f aca="false">Inputs!$B$53*(1+Inputs!$D$69)*G$6</f>
        <v>0</v>
      </c>
      <c r="H69" s="121" t="n">
        <f aca="false">Inputs!$B$53*(1+Inputs!$D$69)*H$6</f>
        <v>0</v>
      </c>
      <c r="I69" s="121" t="n">
        <f aca="false">Inputs!$B$53*(1+Inputs!$D$69)*I$6</f>
        <v>0</v>
      </c>
      <c r="J69" s="121" t="n">
        <f aca="false">Inputs!$B$53*(1+Inputs!$D$69)*J$6</f>
        <v>0</v>
      </c>
      <c r="K69" s="121" t="n">
        <f aca="false">Inputs!$B$53*(1+Inputs!$D$69)*K$6</f>
        <v>0</v>
      </c>
      <c r="L69" s="121" t="n">
        <f aca="false">Inputs!$B$53*(1+Inputs!$D$69)*L$6</f>
        <v>0</v>
      </c>
      <c r="M69" s="121" t="n">
        <f aca="false">Inputs!$B$53*(1+Inputs!$D$69)*M$6</f>
        <v>0</v>
      </c>
      <c r="N69" s="121" t="n">
        <f aca="false">Inputs!$B$53*(1+Inputs!$D$69)*N$6</f>
        <v>0</v>
      </c>
      <c r="O69" s="121" t="n">
        <f aca="false">Inputs!$B$53*(1+Inputs!$D$69)*O$6</f>
        <v>0</v>
      </c>
      <c r="P69" s="121" t="n">
        <f aca="false">Inputs!$B$53*(1+Inputs!$D$69)*P$6</f>
        <v>0</v>
      </c>
      <c r="Q69" s="121" t="n">
        <f aca="false">Inputs!$B$53*(1+Inputs!$D$69)*Q$6</f>
        <v>0</v>
      </c>
      <c r="R69" s="121" t="n">
        <f aca="false">Inputs!$B$53*(1+Inputs!$D$69)*R$6</f>
        <v>0</v>
      </c>
      <c r="S69" s="121" t="n">
        <f aca="false">Inputs!$B$53*(1+Inputs!$D$69)*S$6</f>
        <v>0</v>
      </c>
      <c r="T69" s="121" t="n">
        <f aca="false">Inputs!$B$53*(1+Inputs!$D$69)*T$6</f>
        <v>0</v>
      </c>
      <c r="U69" s="121" t="n">
        <f aca="false">Inputs!$B$53*(1+Inputs!$D$69)*U$6</f>
        <v>0</v>
      </c>
      <c r="V69" s="121" t="n">
        <f aca="false">Inputs!$B$53*(1+Inputs!$D$69)*V$6</f>
        <v>0</v>
      </c>
    </row>
    <row r="70" customFormat="false" ht="15" hidden="false" customHeight="false" outlineLevel="1" collapsed="false">
      <c r="A70" s="99" t="s">
        <v>940</v>
      </c>
      <c r="C70" s="126" t="n">
        <f aca="false">C$9</f>
        <v>0</v>
      </c>
      <c r="D70" s="126" t="n">
        <f aca="false">D$9</f>
        <v>0</v>
      </c>
      <c r="E70" s="126" t="n">
        <f aca="false">E$9</f>
        <v>0</v>
      </c>
      <c r="F70" s="126" t="n">
        <f aca="false">F$9</f>
        <v>0</v>
      </c>
      <c r="G70" s="126" t="n">
        <f aca="false">G$9</f>
        <v>0</v>
      </c>
      <c r="H70" s="126" t="n">
        <f aca="false">H$9</f>
        <v>0</v>
      </c>
      <c r="I70" s="126" t="n">
        <f aca="false">I$9</f>
        <v>0</v>
      </c>
      <c r="J70" s="126" t="n">
        <f aca="false">J$9</f>
        <v>0</v>
      </c>
      <c r="K70" s="126" t="n">
        <f aca="false">K$9</f>
        <v>0</v>
      </c>
      <c r="L70" s="126" t="n">
        <f aca="false">L$9</f>
        <v>0</v>
      </c>
      <c r="M70" s="126" t="n">
        <f aca="false">M$9</f>
        <v>0</v>
      </c>
      <c r="N70" s="126" t="n">
        <f aca="false">N$9</f>
        <v>0</v>
      </c>
      <c r="O70" s="126" t="n">
        <f aca="false">O$9</f>
        <v>0</v>
      </c>
      <c r="P70" s="126" t="n">
        <f aca="false">P$9</f>
        <v>0</v>
      </c>
      <c r="Q70" s="126" t="n">
        <f aca="false">Q$9</f>
        <v>0</v>
      </c>
      <c r="R70" s="126" t="n">
        <f aca="false">R$9</f>
        <v>0</v>
      </c>
      <c r="S70" s="126" t="n">
        <f aca="false">S$9</f>
        <v>0</v>
      </c>
      <c r="T70" s="126" t="n">
        <f aca="false">T$9</f>
        <v>0</v>
      </c>
      <c r="U70" s="126" t="n">
        <f aca="false">U$9</f>
        <v>0</v>
      </c>
      <c r="V70" s="126" t="n">
        <f aca="false">V$9</f>
        <v>0</v>
      </c>
    </row>
    <row r="71" customFormat="false" ht="15" hidden="false" customHeight="false" outlineLevel="1" collapsed="false">
      <c r="A71" s="99" t="s">
        <v>941</v>
      </c>
      <c r="C71" s="126" t="n">
        <f aca="false">C$10</f>
        <v>0</v>
      </c>
      <c r="D71" s="126" t="n">
        <f aca="false">D$10</f>
        <v>0</v>
      </c>
      <c r="E71" s="126" t="n">
        <f aca="false">E$10</f>
        <v>0</v>
      </c>
      <c r="F71" s="126" t="n">
        <f aca="false">F$10</f>
        <v>0</v>
      </c>
      <c r="G71" s="126" t="n">
        <f aca="false">G$10</f>
        <v>0</v>
      </c>
      <c r="H71" s="126" t="n">
        <f aca="false">H$10</f>
        <v>0</v>
      </c>
      <c r="I71" s="126" t="n">
        <f aca="false">I$10</f>
        <v>0</v>
      </c>
      <c r="J71" s="126" t="n">
        <f aca="false">J$10</f>
        <v>0</v>
      </c>
      <c r="K71" s="126" t="n">
        <f aca="false">K$10</f>
        <v>0</v>
      </c>
      <c r="L71" s="126" t="n">
        <f aca="false">L$10</f>
        <v>0</v>
      </c>
      <c r="M71" s="126" t="n">
        <f aca="false">M$10</f>
        <v>0</v>
      </c>
      <c r="N71" s="126" t="n">
        <f aca="false">N$10</f>
        <v>0</v>
      </c>
      <c r="O71" s="126" t="n">
        <f aca="false">O$10</f>
        <v>0</v>
      </c>
      <c r="P71" s="126" t="n">
        <f aca="false">P$10</f>
        <v>0</v>
      </c>
      <c r="Q71" s="126" t="n">
        <f aca="false">Q$10</f>
        <v>0</v>
      </c>
      <c r="R71" s="126" t="n">
        <f aca="false">R$10</f>
        <v>0</v>
      </c>
      <c r="S71" s="126" t="n">
        <f aca="false">S$10</f>
        <v>0</v>
      </c>
      <c r="T71" s="126" t="n">
        <f aca="false">T$10</f>
        <v>0</v>
      </c>
      <c r="U71" s="126" t="n">
        <f aca="false">U$10</f>
        <v>0</v>
      </c>
      <c r="V71" s="126" t="n">
        <f aca="false">V$10</f>
        <v>0</v>
      </c>
    </row>
    <row r="72" customFormat="false" ht="15" hidden="false" customHeight="false" outlineLevel="0" collapsed="false">
      <c r="A72" s="174" t="s">
        <v>942</v>
      </c>
      <c r="C72" s="181" t="n">
        <f aca="false">SUM(C66:C71)</f>
        <v>0</v>
      </c>
      <c r="D72" s="181" t="n">
        <f aca="false">SUM(D66:D71)</f>
        <v>0</v>
      </c>
      <c r="E72" s="181" t="n">
        <f aca="false">SUM(E66:E71)</f>
        <v>0</v>
      </c>
      <c r="F72" s="181" t="n">
        <f aca="false">SUM(F66:F71)</f>
        <v>0</v>
      </c>
      <c r="G72" s="181" t="n">
        <f aca="false">SUM(G66:G71)</f>
        <v>0</v>
      </c>
      <c r="H72" s="181" t="n">
        <f aca="false">SUM(H66:H71)</f>
        <v>0</v>
      </c>
      <c r="I72" s="181" t="n">
        <f aca="false">SUM(I66:I71)</f>
        <v>0</v>
      </c>
      <c r="J72" s="181" t="n">
        <f aca="false">SUM(J66:J71)</f>
        <v>0</v>
      </c>
      <c r="K72" s="181" t="n">
        <f aca="false">SUM(K66:K71)</f>
        <v>0</v>
      </c>
      <c r="L72" s="181" t="n">
        <f aca="false">SUM(L66:L71)</f>
        <v>0</v>
      </c>
      <c r="M72" s="181" t="n">
        <f aca="false">SUM(M66:M71)</f>
        <v>0</v>
      </c>
      <c r="N72" s="181" t="n">
        <f aca="false">SUM(N66:N71)</f>
        <v>0</v>
      </c>
      <c r="O72" s="181" t="n">
        <f aca="false">SUM(O66:O71)</f>
        <v>0</v>
      </c>
      <c r="P72" s="181" t="n">
        <f aca="false">SUM(P66:P71)</f>
        <v>0</v>
      </c>
      <c r="Q72" s="181" t="n">
        <f aca="false">SUM(Q66:Q71)</f>
        <v>0</v>
      </c>
      <c r="R72" s="181" t="n">
        <f aca="false">SUM(R66:R71)</f>
        <v>0</v>
      </c>
      <c r="S72" s="181" t="n">
        <f aca="false">SUM(S66:S71)</f>
        <v>0</v>
      </c>
      <c r="T72" s="181" t="n">
        <f aca="false">SUM(T66:T71)</f>
        <v>0</v>
      </c>
      <c r="U72" s="181" t="n">
        <f aca="false">SUM(U66:U71)</f>
        <v>0</v>
      </c>
      <c r="V72" s="181" t="n">
        <f aca="false">SUM(V66:V71)</f>
        <v>0</v>
      </c>
    </row>
    <row r="73" customFormat="false" ht="15" hidden="false" customHeight="false" outlineLevel="0" collapsed="false">
      <c r="A73" s="174" t="s">
        <v>943</v>
      </c>
      <c r="C73" s="181" t="n">
        <f aca="false">C64-C72</f>
        <v>0</v>
      </c>
      <c r="D73" s="181" t="n">
        <f aca="false">D64-D72</f>
        <v>0</v>
      </c>
      <c r="E73" s="181" t="n">
        <f aca="false">E64-E72</f>
        <v>0</v>
      </c>
      <c r="F73" s="181" t="n">
        <f aca="false">F64-F72</f>
        <v>0</v>
      </c>
      <c r="G73" s="181" t="n">
        <f aca="false">G64-G72</f>
        <v>0</v>
      </c>
      <c r="H73" s="181" t="n">
        <f aca="false">H64-H72</f>
        <v>0</v>
      </c>
      <c r="I73" s="181" t="n">
        <f aca="false">I64-I72</f>
        <v>0</v>
      </c>
      <c r="J73" s="181" t="n">
        <f aca="false">J64-J72</f>
        <v>0</v>
      </c>
      <c r="K73" s="181" t="n">
        <f aca="false">K64-K72</f>
        <v>0</v>
      </c>
      <c r="L73" s="181" t="n">
        <f aca="false">L64-L72</f>
        <v>0</v>
      </c>
      <c r="M73" s="181" t="n">
        <f aca="false">M64-M72</f>
        <v>0</v>
      </c>
      <c r="N73" s="181" t="n">
        <f aca="false">N64-N72</f>
        <v>0</v>
      </c>
      <c r="O73" s="181" t="n">
        <f aca="false">O64-O72</f>
        <v>0</v>
      </c>
      <c r="P73" s="181" t="n">
        <f aca="false">P64-P72</f>
        <v>0</v>
      </c>
      <c r="Q73" s="181" t="n">
        <f aca="false">Q64-Q72</f>
        <v>0</v>
      </c>
      <c r="R73" s="181" t="n">
        <f aca="false">R64-R72</f>
        <v>0</v>
      </c>
      <c r="S73" s="181" t="n">
        <f aca="false">S64-S72</f>
        <v>0</v>
      </c>
      <c r="T73" s="181" t="n">
        <f aca="false">T64-T72</f>
        <v>0</v>
      </c>
      <c r="U73" s="181" t="n">
        <f aca="false">U64-U72</f>
        <v>0</v>
      </c>
      <c r="V73" s="181" t="n">
        <f aca="false">V64-V72</f>
        <v>0</v>
      </c>
    </row>
    <row r="74" customFormat="false" ht="15" hidden="false" customHeight="false" outlineLevel="0" collapsed="false">
      <c r="A74" s="151" t="s">
        <v>944</v>
      </c>
      <c r="C74" s="152" t="n">
        <f aca="false">Inputs!$B$8+C73</f>
        <v>0</v>
      </c>
      <c r="D74" s="152" t="n">
        <f aca="false">C74+D73</f>
        <v>0</v>
      </c>
      <c r="E74" s="152" t="n">
        <f aca="false">D74+E73</f>
        <v>0</v>
      </c>
      <c r="F74" s="152" t="n">
        <f aca="false">E74+F73</f>
        <v>0</v>
      </c>
      <c r="G74" s="152" t="n">
        <f aca="false">F74+G73</f>
        <v>0</v>
      </c>
      <c r="H74" s="152" t="n">
        <f aca="false">G74+H73</f>
        <v>0</v>
      </c>
      <c r="I74" s="152" t="n">
        <f aca="false">H74+I73</f>
        <v>0</v>
      </c>
      <c r="J74" s="152" t="n">
        <f aca="false">I74+J73</f>
        <v>0</v>
      </c>
      <c r="K74" s="152" t="n">
        <f aca="false">J74+K73</f>
        <v>0</v>
      </c>
      <c r="L74" s="152" t="n">
        <f aca="false">K74+L73</f>
        <v>0</v>
      </c>
      <c r="M74" s="152" t="n">
        <f aca="false">L74+M73</f>
        <v>0</v>
      </c>
      <c r="N74" s="152" t="n">
        <f aca="false">M74+N73</f>
        <v>0</v>
      </c>
      <c r="O74" s="152" t="n">
        <f aca="false">N74+O73</f>
        <v>0</v>
      </c>
      <c r="P74" s="152" t="n">
        <f aca="false">O74+P73</f>
        <v>0</v>
      </c>
      <c r="Q74" s="152" t="n">
        <f aca="false">P74+Q73</f>
        <v>0</v>
      </c>
      <c r="R74" s="152" t="n">
        <f aca="false">Q74+R73</f>
        <v>0</v>
      </c>
      <c r="S74" s="152" t="n">
        <f aca="false">R74+S73</f>
        <v>0</v>
      </c>
      <c r="T74" s="152" t="n">
        <f aca="false">S74+T73</f>
        <v>0</v>
      </c>
      <c r="U74" s="152" t="n">
        <f aca="false">T74+U73</f>
        <v>0</v>
      </c>
      <c r="V74" s="152" t="n">
        <f aca="false">U74+V73</f>
        <v>0</v>
      </c>
    </row>
    <row r="77" customFormat="false" ht="15" hidden="false" customHeight="false" outlineLevel="0" collapsed="false">
      <c r="A77" s="21" t="s">
        <v>945</v>
      </c>
    </row>
  </sheetData>
  <sheetProtection sheet="true" scenarios="true" formatCells="false" formatColumns="false" formatRows="false" sort="false" autoFilter="false"/>
  <mergeCells count="5">
    <mergeCell ref="C2:F2"/>
    <mergeCell ref="G2:J2"/>
    <mergeCell ref="K2:N2"/>
    <mergeCell ref="O2:R2"/>
    <mergeCell ref="S2:V2"/>
  </mergeCells>
  <conditionalFormatting sqref="C32:V32">
    <cfRule type="cellIs" priority="2" operator="lessThan" aboveAverage="0" equalAverage="0" bottom="0" percent="0" rank="0" text="" dxfId="13">
      <formula>0</formula>
    </cfRule>
    <cfRule type="colorScale" priority="3">
      <colorScale>
        <cfvo type="min" val="0"/>
        <cfvo type="num" val="5000"/>
        <cfvo type="max" val="0"/>
        <color rgb="FFFFD9D9"/>
        <color rgb="FFFFFFFF"/>
        <color rgb="FFC6EFD9"/>
      </colorScale>
    </cfRule>
    <cfRule type="expression" priority="4" aboveAverage="0" equalAverage="0" bottom="0" percent="0" rank="0" text="" dxfId="14">
      <formula>C32=MIN($C$32:$V$32)</formula>
    </cfRule>
  </conditionalFormatting>
  <conditionalFormatting sqref="C53:V53">
    <cfRule type="cellIs" priority="5" operator="lessThan" aboveAverage="0" equalAverage="0" bottom="0" percent="0" rank="0" text="" dxfId="13">
      <formula>0</formula>
    </cfRule>
    <cfRule type="colorScale" priority="6">
      <colorScale>
        <cfvo type="min" val="0"/>
        <cfvo type="num" val="5000"/>
        <cfvo type="max" val="0"/>
        <color rgb="FFFFD9D9"/>
        <color rgb="FFFFFFFF"/>
        <color rgb="FFC6EFD9"/>
      </colorScale>
    </cfRule>
    <cfRule type="expression" priority="7" aboveAverage="0" equalAverage="0" bottom="0" percent="0" rank="0" text="" dxfId="14">
      <formula>C53=MIN($C$53:$V$53)</formula>
    </cfRule>
  </conditionalFormatting>
  <conditionalFormatting sqref="C74:V74">
    <cfRule type="cellIs" priority="8" operator="lessThan" aboveAverage="0" equalAverage="0" bottom="0" percent="0" rank="0" text="" dxfId="13">
      <formula>0</formula>
    </cfRule>
    <cfRule type="colorScale" priority="9">
      <colorScale>
        <cfvo type="min" val="0"/>
        <cfvo type="num" val="5000"/>
        <cfvo type="max" val="0"/>
        <color rgb="FFFFD9D9"/>
        <color rgb="FFFFFFFF"/>
        <color rgb="FFC6EFD9"/>
      </colorScale>
    </cfRule>
    <cfRule type="expression" priority="10" aboveAverage="0" equalAverage="0" bottom="0" percent="0" rank="0" text="" dxfId="14">
      <formula>C74=MIN($C$74:$V$74)</formula>
    </cfRule>
  </conditionalFormatting>
  <conditionalFormatting sqref="C3:V3">
    <cfRule type="expression" priority="11" aboveAverage="0" equalAverage="0" bottom="0" percent="0" rank="0" text="" dxfId="15">
      <formula>C$4=0</formula>
    </cfRule>
  </conditionalFormatting>
  <conditionalFormatting sqref="C4:V74">
    <cfRule type="expression" priority="12" aboveAverage="0" equalAverage="0" bottom="0" percent="0" rank="0" text="" dxfId="16">
      <formula>C$4=0</formula>
    </cfRule>
  </conditionalFormatting>
  <conditionalFormatting sqref="A14:V31">
    <cfRule type="expression" priority="13" aboveAverage="0" equalAverage="0" bottom="0" percent="0" rank="0" text="" dxfId="5">
      <formula>MOD(ROW(),2)=0</formula>
    </cfRule>
  </conditionalFormatting>
  <conditionalFormatting sqref="A35:V52">
    <cfRule type="expression" priority="14" aboveAverage="0" equalAverage="0" bottom="0" percent="0" rank="0" text="" dxfId="5">
      <formula>MOD(ROW(),2)=0</formula>
    </cfRule>
  </conditionalFormatting>
  <conditionalFormatting sqref="A56:V73">
    <cfRule type="expression" priority="15" aboveAverage="0" equalAverage="0" bottom="0" percent="0" rank="0" text="" dxfId="5">
      <formula>MOD(ROW(),2)=0</formula>
    </cfRule>
  </conditionalFormatting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Forecast&amp;R&amp;8 Page &amp;P of &amp;N · printed &amp;D</oddFooter>
  </headerFooter>
  <drawing r:id="rId4"/>
  <legacy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4"/>
    <col collapsed="false" customWidth="true" hidden="false" outlineLevel="0" max="3" min="3" style="0" width="6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946</v>
      </c>
    </row>
    <row r="3" customFormat="false" ht="15" hidden="false" customHeight="false" outlineLevel="0" collapsed="false">
      <c r="A3" s="21" t="s">
        <v>947</v>
      </c>
    </row>
    <row r="4" customFormat="false" ht="19.5" hidden="false" customHeight="true" outlineLevel="0" collapsed="false">
      <c r="A4" s="107" t="s">
        <v>948</v>
      </c>
      <c r="B4" s="107" t="s">
        <v>949</v>
      </c>
      <c r="C4" s="107" t="s">
        <v>163</v>
      </c>
    </row>
    <row r="5" customFormat="false" ht="15" hidden="false" customHeight="false" outlineLevel="0" collapsed="false">
      <c r="A5" s="108" t="s">
        <v>950</v>
      </c>
      <c r="B5" s="108" t="s">
        <v>236</v>
      </c>
    </row>
    <row r="6" customFormat="false" ht="15" hidden="false" customHeight="false" outlineLevel="0" collapsed="false">
      <c r="A6" s="108" t="s">
        <v>951</v>
      </c>
      <c r="B6" s="108" t="s">
        <v>236</v>
      </c>
    </row>
    <row r="7" customFormat="false" ht="15" hidden="false" customHeight="false" outlineLevel="0" collapsed="false">
      <c r="A7" s="108" t="s">
        <v>952</v>
      </c>
      <c r="B7" s="108" t="s">
        <v>236</v>
      </c>
    </row>
    <row r="8" customFormat="false" ht="15" hidden="false" customHeight="false" outlineLevel="0" collapsed="false">
      <c r="A8" s="108" t="s">
        <v>953</v>
      </c>
      <c r="B8" s="108" t="s">
        <v>236</v>
      </c>
    </row>
    <row r="9" customFormat="false" ht="15" hidden="false" customHeight="false" outlineLevel="0" collapsed="false">
      <c r="A9" s="108" t="s">
        <v>954</v>
      </c>
      <c r="B9" s="108" t="s">
        <v>236</v>
      </c>
    </row>
    <row r="10" customFormat="false" ht="15" hidden="false" customHeight="false" outlineLevel="0" collapsed="false">
      <c r="A10" s="108" t="s">
        <v>955</v>
      </c>
      <c r="B10" s="108" t="s">
        <v>248</v>
      </c>
    </row>
    <row r="11" customFormat="false" ht="15" hidden="false" customHeight="false" outlineLevel="0" collapsed="false">
      <c r="A11" s="108" t="s">
        <v>956</v>
      </c>
      <c r="B11" s="108" t="s">
        <v>356</v>
      </c>
    </row>
    <row r="12" customFormat="false" ht="15" hidden="false" customHeight="false" outlineLevel="0" collapsed="false">
      <c r="A12" s="108" t="s">
        <v>957</v>
      </c>
      <c r="B12" s="108" t="s">
        <v>356</v>
      </c>
    </row>
    <row r="13" customFormat="false" ht="15" hidden="false" customHeight="false" outlineLevel="0" collapsed="false">
      <c r="A13" s="108" t="s">
        <v>958</v>
      </c>
      <c r="B13" s="108" t="s">
        <v>356</v>
      </c>
    </row>
    <row r="14" customFormat="false" ht="15" hidden="false" customHeight="false" outlineLevel="0" collapsed="false">
      <c r="A14" s="108" t="s">
        <v>959</v>
      </c>
      <c r="B14" s="108" t="s">
        <v>356</v>
      </c>
    </row>
    <row r="15" customFormat="false" ht="15" hidden="false" customHeight="false" outlineLevel="0" collapsed="false">
      <c r="A15" s="108" t="s">
        <v>960</v>
      </c>
      <c r="B15" s="108" t="s">
        <v>297</v>
      </c>
    </row>
    <row r="16" customFormat="false" ht="15" hidden="false" customHeight="false" outlineLevel="0" collapsed="false">
      <c r="A16" s="108" t="s">
        <v>961</v>
      </c>
      <c r="B16" s="108" t="s">
        <v>297</v>
      </c>
    </row>
    <row r="17" customFormat="false" ht="15" hidden="false" customHeight="false" outlineLevel="0" collapsed="false">
      <c r="A17" s="108" t="s">
        <v>962</v>
      </c>
      <c r="B17" s="108" t="s">
        <v>297</v>
      </c>
    </row>
    <row r="18" customFormat="false" ht="15" hidden="false" customHeight="false" outlineLevel="0" collapsed="false">
      <c r="A18" s="108" t="s">
        <v>963</v>
      </c>
      <c r="B18" s="108" t="s">
        <v>297</v>
      </c>
    </row>
    <row r="19" customFormat="false" ht="15" hidden="false" customHeight="false" outlineLevel="0" collapsed="false">
      <c r="A19" s="108" t="s">
        <v>964</v>
      </c>
      <c r="B19" s="108" t="s">
        <v>297</v>
      </c>
    </row>
    <row r="20" customFormat="false" ht="15" hidden="false" customHeight="false" outlineLevel="0" collapsed="false">
      <c r="A20" s="108" t="s">
        <v>965</v>
      </c>
      <c r="B20" s="108" t="s">
        <v>303</v>
      </c>
    </row>
    <row r="21" customFormat="false" ht="15" hidden="false" customHeight="false" outlineLevel="0" collapsed="false">
      <c r="A21" s="108" t="s">
        <v>966</v>
      </c>
      <c r="B21" s="108" t="s">
        <v>303</v>
      </c>
    </row>
    <row r="22" customFormat="false" ht="15" hidden="false" customHeight="false" outlineLevel="0" collapsed="false">
      <c r="A22" s="108" t="s">
        <v>967</v>
      </c>
      <c r="B22" s="108" t="s">
        <v>311</v>
      </c>
    </row>
    <row r="23" customFormat="false" ht="15" hidden="false" customHeight="false" outlineLevel="0" collapsed="false">
      <c r="A23" s="108" t="s">
        <v>968</v>
      </c>
      <c r="B23" s="108" t="s">
        <v>311</v>
      </c>
    </row>
    <row r="24" customFormat="false" ht="15" hidden="false" customHeight="false" outlineLevel="0" collapsed="false">
      <c r="A24" s="108" t="s">
        <v>969</v>
      </c>
      <c r="B24" s="108" t="s">
        <v>319</v>
      </c>
    </row>
    <row r="25" customFormat="false" ht="15" hidden="false" customHeight="false" outlineLevel="0" collapsed="false">
      <c r="A25" s="108" t="s">
        <v>970</v>
      </c>
      <c r="B25" s="108" t="s">
        <v>319</v>
      </c>
    </row>
    <row r="26" customFormat="false" ht="15" hidden="false" customHeight="false" outlineLevel="0" collapsed="false">
      <c r="A26" s="108" t="s">
        <v>971</v>
      </c>
      <c r="B26" s="108" t="s">
        <v>327</v>
      </c>
    </row>
    <row r="27" customFormat="false" ht="15" hidden="false" customHeight="false" outlineLevel="0" collapsed="false">
      <c r="A27" s="108" t="s">
        <v>972</v>
      </c>
      <c r="B27" s="108" t="s">
        <v>327</v>
      </c>
    </row>
    <row r="28" customFormat="false" ht="15" hidden="false" customHeight="false" outlineLevel="0" collapsed="false">
      <c r="A28" s="108" t="s">
        <v>973</v>
      </c>
      <c r="B28" s="108" t="s">
        <v>327</v>
      </c>
    </row>
    <row r="29" customFormat="false" ht="15" hidden="false" customHeight="false" outlineLevel="0" collapsed="false">
      <c r="A29" s="108" t="s">
        <v>974</v>
      </c>
      <c r="B29" s="108" t="s">
        <v>334</v>
      </c>
    </row>
    <row r="30" customFormat="false" ht="15" hidden="false" customHeight="false" outlineLevel="0" collapsed="false">
      <c r="A30" s="108" t="s">
        <v>975</v>
      </c>
      <c r="B30" s="108" t="s">
        <v>334</v>
      </c>
    </row>
    <row r="31" customFormat="false" ht="15" hidden="false" customHeight="false" outlineLevel="0" collapsed="false">
      <c r="A31" s="108" t="s">
        <v>976</v>
      </c>
      <c r="B31" s="108" t="s">
        <v>334</v>
      </c>
    </row>
    <row r="32" customFormat="false" ht="15" hidden="false" customHeight="false" outlineLevel="0" collapsed="false">
      <c r="A32" s="108" t="s">
        <v>977</v>
      </c>
      <c r="B32" s="108" t="s">
        <v>334</v>
      </c>
    </row>
    <row r="33" customFormat="false" ht="15" hidden="false" customHeight="false" outlineLevel="0" collapsed="false">
      <c r="A33" s="108" t="s">
        <v>978</v>
      </c>
      <c r="B33" s="108" t="s">
        <v>476</v>
      </c>
    </row>
    <row r="34" customFormat="false" ht="15" hidden="false" customHeight="false" outlineLevel="0" collapsed="false">
      <c r="A34" s="108" t="s">
        <v>979</v>
      </c>
      <c r="B34" s="108" t="s">
        <v>476</v>
      </c>
    </row>
    <row r="35" customFormat="false" ht="15" hidden="false" customHeight="false" outlineLevel="0" collapsed="false">
      <c r="A35" s="108" t="s">
        <v>980</v>
      </c>
      <c r="B35" s="108" t="s">
        <v>476</v>
      </c>
    </row>
    <row r="36" customFormat="false" ht="15" hidden="false" customHeight="false" outlineLevel="0" collapsed="false">
      <c r="A36" s="108" t="s">
        <v>981</v>
      </c>
      <c r="B36" s="108" t="s">
        <v>476</v>
      </c>
    </row>
    <row r="37" customFormat="false" ht="15" hidden="false" customHeight="false" outlineLevel="0" collapsed="false">
      <c r="A37" s="108" t="s">
        <v>982</v>
      </c>
      <c r="B37" s="108" t="s">
        <v>476</v>
      </c>
    </row>
    <row r="38" customFormat="false" ht="15" hidden="false" customHeight="false" outlineLevel="0" collapsed="false">
      <c r="A38" s="108" t="s">
        <v>983</v>
      </c>
      <c r="B38" s="108" t="s">
        <v>476</v>
      </c>
    </row>
    <row r="39" customFormat="false" ht="15" hidden="false" customHeight="false" outlineLevel="0" collapsed="false">
      <c r="A39" s="108" t="s">
        <v>984</v>
      </c>
      <c r="B39" s="108" t="s">
        <v>476</v>
      </c>
    </row>
    <row r="40" customFormat="false" ht="15" hidden="false" customHeight="false" outlineLevel="0" collapsed="false">
      <c r="A40" s="108" t="s">
        <v>985</v>
      </c>
      <c r="B40" s="108" t="s">
        <v>478</v>
      </c>
    </row>
    <row r="41" customFormat="false" ht="15" hidden="false" customHeight="false" outlineLevel="0" collapsed="false">
      <c r="A41" s="108" t="s">
        <v>986</v>
      </c>
      <c r="B41" s="108" t="s">
        <v>478</v>
      </c>
    </row>
    <row r="42" customFormat="false" ht="15" hidden="false" customHeight="false" outlineLevel="0" collapsed="false">
      <c r="A42" s="108" t="s">
        <v>987</v>
      </c>
      <c r="B42" s="108" t="s">
        <v>478</v>
      </c>
    </row>
    <row r="43" customFormat="false" ht="15" hidden="false" customHeight="false" outlineLevel="0" collapsed="false">
      <c r="A43" s="108" t="s">
        <v>988</v>
      </c>
      <c r="B43" s="108" t="s">
        <v>478</v>
      </c>
    </row>
    <row r="44" customFormat="false" ht="15" hidden="false" customHeight="false" outlineLevel="0" collapsed="false">
      <c r="A44" s="108" t="s">
        <v>989</v>
      </c>
      <c r="B44" s="108" t="s">
        <v>478</v>
      </c>
    </row>
    <row r="45" customFormat="false" ht="15" hidden="false" customHeight="false" outlineLevel="0" collapsed="false">
      <c r="A45" s="108" t="s">
        <v>990</v>
      </c>
      <c r="B45" s="108" t="s">
        <v>478</v>
      </c>
    </row>
    <row r="46" customFormat="false" ht="15" hidden="false" customHeight="false" outlineLevel="0" collapsed="false">
      <c r="A46" s="108" t="s">
        <v>991</v>
      </c>
      <c r="B46" s="108" t="s">
        <v>478</v>
      </c>
    </row>
    <row r="47" customFormat="false" ht="15" hidden="false" customHeight="false" outlineLevel="0" collapsed="false">
      <c r="A47" s="108" t="s">
        <v>992</v>
      </c>
      <c r="B47" s="108" t="s">
        <v>350</v>
      </c>
    </row>
    <row r="48" customFormat="false" ht="15" hidden="false" customHeight="false" outlineLevel="0" collapsed="false">
      <c r="A48" s="108" t="s">
        <v>993</v>
      </c>
      <c r="B48" s="108" t="s">
        <v>350</v>
      </c>
    </row>
    <row r="49" customFormat="false" ht="15" hidden="false" customHeight="false" outlineLevel="0" collapsed="false">
      <c r="A49" s="108" t="s">
        <v>994</v>
      </c>
      <c r="B49" s="108" t="s">
        <v>350</v>
      </c>
    </row>
    <row r="50" customFormat="false" ht="15" hidden="false" customHeight="false" outlineLevel="0" collapsed="false">
      <c r="A50" s="108" t="s">
        <v>995</v>
      </c>
      <c r="B50" s="108" t="s">
        <v>350</v>
      </c>
    </row>
    <row r="51" customFormat="false" ht="15" hidden="false" customHeight="false" outlineLevel="0" collapsed="false">
      <c r="A51" s="108" t="s">
        <v>996</v>
      </c>
      <c r="B51" s="108" t="s">
        <v>350</v>
      </c>
    </row>
    <row r="52" customFormat="false" ht="15" hidden="false" customHeight="false" outlineLevel="0" collapsed="false">
      <c r="A52" s="108" t="s">
        <v>997</v>
      </c>
      <c r="B52" s="108" t="s">
        <v>362</v>
      </c>
    </row>
    <row r="53" customFormat="false" ht="15" hidden="false" customHeight="false" outlineLevel="0" collapsed="false">
      <c r="A53" s="108" t="s">
        <v>998</v>
      </c>
      <c r="B53" s="108" t="s">
        <v>362</v>
      </c>
    </row>
    <row r="54" customFormat="false" ht="15" hidden="false" customHeight="false" outlineLevel="0" collapsed="false">
      <c r="A54" s="108" t="s">
        <v>999</v>
      </c>
      <c r="B54" s="108" t="s">
        <v>362</v>
      </c>
    </row>
    <row r="55" customFormat="false" ht="15" hidden="false" customHeight="false" outlineLevel="0" collapsed="false">
      <c r="A55" s="108" t="s">
        <v>1000</v>
      </c>
      <c r="B55" s="108" t="s">
        <v>362</v>
      </c>
    </row>
    <row r="56" customFormat="false" ht="15" hidden="false" customHeight="false" outlineLevel="0" collapsed="false">
      <c r="A56" s="108" t="s">
        <v>1001</v>
      </c>
      <c r="B56" s="108" t="s">
        <v>362</v>
      </c>
    </row>
    <row r="57" customFormat="false" ht="15" hidden="false" customHeight="false" outlineLevel="0" collapsed="false">
      <c r="A57" s="108" t="s">
        <v>1002</v>
      </c>
      <c r="B57" s="108" t="s">
        <v>362</v>
      </c>
    </row>
    <row r="58" customFormat="false" ht="15" hidden="false" customHeight="false" outlineLevel="0" collapsed="false">
      <c r="A58" s="108" t="s">
        <v>1003</v>
      </c>
      <c r="B58" s="108" t="s">
        <v>362</v>
      </c>
    </row>
    <row r="59" customFormat="false" ht="15" hidden="false" customHeight="false" outlineLevel="0" collapsed="false">
      <c r="A59" s="108" t="s">
        <v>1004</v>
      </c>
      <c r="B59" s="108" t="s">
        <v>362</v>
      </c>
    </row>
    <row r="60" customFormat="false" ht="15" hidden="false" customHeight="false" outlineLevel="0" collapsed="false">
      <c r="A60" s="108" t="s">
        <v>1005</v>
      </c>
      <c r="B60" s="108" t="s">
        <v>362</v>
      </c>
    </row>
    <row r="61" customFormat="false" ht="15" hidden="false" customHeight="false" outlineLevel="0" collapsed="false">
      <c r="A61" s="108" t="s">
        <v>1006</v>
      </c>
      <c r="B61" s="108" t="s">
        <v>362</v>
      </c>
    </row>
    <row r="62" customFormat="false" ht="15" hidden="false" customHeight="false" outlineLevel="0" collapsed="false">
      <c r="A62" s="108" t="s">
        <v>1007</v>
      </c>
      <c r="B62" s="108" t="s">
        <v>362</v>
      </c>
    </row>
    <row r="63" customFormat="false" ht="15" hidden="false" customHeight="false" outlineLevel="0" collapsed="false">
      <c r="A63" s="108" t="s">
        <v>1008</v>
      </c>
      <c r="B63" s="108" t="s">
        <v>377</v>
      </c>
    </row>
    <row r="64" customFormat="false" ht="15" hidden="false" customHeight="false" outlineLevel="0" collapsed="false">
      <c r="A64" s="108" t="s">
        <v>1009</v>
      </c>
      <c r="B64" s="108" t="s">
        <v>377</v>
      </c>
    </row>
    <row r="65" customFormat="false" ht="15" hidden="false" customHeight="false" outlineLevel="0" collapsed="false">
      <c r="A65" s="108" t="s">
        <v>1010</v>
      </c>
      <c r="B65" s="108" t="s">
        <v>377</v>
      </c>
    </row>
    <row r="66" customFormat="false" ht="15" hidden="false" customHeight="false" outlineLevel="0" collapsed="false">
      <c r="A66" s="108" t="s">
        <v>1011</v>
      </c>
      <c r="B66" s="108" t="s">
        <v>377</v>
      </c>
    </row>
    <row r="67" customFormat="false" ht="15" hidden="false" customHeight="false" outlineLevel="0" collapsed="false">
      <c r="A67" s="108" t="s">
        <v>1012</v>
      </c>
      <c r="B67" s="108" t="s">
        <v>377</v>
      </c>
    </row>
    <row r="68" customFormat="false" ht="15" hidden="false" customHeight="false" outlineLevel="0" collapsed="false">
      <c r="A68" s="108" t="s">
        <v>1013</v>
      </c>
      <c r="B68" s="108" t="s">
        <v>385</v>
      </c>
    </row>
    <row r="69" customFormat="false" ht="15" hidden="false" customHeight="false" outlineLevel="0" collapsed="false">
      <c r="A69" s="108" t="s">
        <v>1014</v>
      </c>
      <c r="B69" s="108" t="s">
        <v>385</v>
      </c>
    </row>
    <row r="70" customFormat="false" ht="15" hidden="false" customHeight="false" outlineLevel="0" collapsed="false">
      <c r="A70" s="108" t="s">
        <v>1015</v>
      </c>
      <c r="B70" s="108" t="s">
        <v>385</v>
      </c>
    </row>
    <row r="71" customFormat="false" ht="15" hidden="false" customHeight="false" outlineLevel="0" collapsed="false">
      <c r="A71" s="108" t="s">
        <v>1016</v>
      </c>
      <c r="B71" s="108" t="s">
        <v>385</v>
      </c>
    </row>
    <row r="72" customFormat="false" ht="15" hidden="false" customHeight="false" outlineLevel="0" collapsed="false">
      <c r="A72" s="108" t="s">
        <v>1017</v>
      </c>
      <c r="B72" s="108" t="s">
        <v>385</v>
      </c>
    </row>
    <row r="73" customFormat="false" ht="15" hidden="false" customHeight="false" outlineLevel="0" collapsed="false">
      <c r="A73" s="108" t="s">
        <v>1018</v>
      </c>
      <c r="B73" s="108" t="s">
        <v>385</v>
      </c>
    </row>
    <row r="74" customFormat="false" ht="15" hidden="false" customHeight="false" outlineLevel="0" collapsed="false">
      <c r="A74" s="108" t="s">
        <v>1019</v>
      </c>
      <c r="B74" s="108" t="s">
        <v>385</v>
      </c>
    </row>
    <row r="75" customFormat="false" ht="15" hidden="false" customHeight="false" outlineLevel="0" collapsed="false">
      <c r="A75" s="108" t="s">
        <v>1020</v>
      </c>
      <c r="B75" s="108" t="s">
        <v>385</v>
      </c>
    </row>
    <row r="76" customFormat="false" ht="15" hidden="false" customHeight="false" outlineLevel="0" collapsed="false">
      <c r="A76" s="108" t="s">
        <v>1021</v>
      </c>
      <c r="B76" s="108" t="s">
        <v>385</v>
      </c>
    </row>
    <row r="77" customFormat="false" ht="15" hidden="false" customHeight="false" outlineLevel="0" collapsed="false">
      <c r="A77" s="108" t="s">
        <v>1022</v>
      </c>
      <c r="B77" s="108" t="s">
        <v>385</v>
      </c>
    </row>
    <row r="78" customFormat="false" ht="15" hidden="false" customHeight="false" outlineLevel="0" collapsed="false">
      <c r="A78" s="108" t="s">
        <v>1023</v>
      </c>
      <c r="B78" s="108" t="s">
        <v>385</v>
      </c>
    </row>
    <row r="79" customFormat="false" ht="15" hidden="false" customHeight="false" outlineLevel="0" collapsed="false">
      <c r="A79" s="108" t="s">
        <v>1024</v>
      </c>
      <c r="B79" s="108" t="s">
        <v>385</v>
      </c>
    </row>
    <row r="80" customFormat="false" ht="15" hidden="false" customHeight="false" outlineLevel="0" collapsed="false">
      <c r="A80" s="108" t="s">
        <v>1025</v>
      </c>
      <c r="B80" s="108" t="s">
        <v>385</v>
      </c>
    </row>
    <row r="81" customFormat="false" ht="15" hidden="false" customHeight="false" outlineLevel="0" collapsed="false">
      <c r="A81" s="108" t="s">
        <v>1026</v>
      </c>
      <c r="B81" s="108" t="s">
        <v>385</v>
      </c>
    </row>
    <row r="82" customFormat="false" ht="15" hidden="false" customHeight="false" outlineLevel="0" collapsed="false">
      <c r="A82" s="108" t="s">
        <v>1027</v>
      </c>
      <c r="B82" s="108" t="s">
        <v>385</v>
      </c>
    </row>
    <row r="83" customFormat="false" ht="15" hidden="false" customHeight="false" outlineLevel="0" collapsed="false">
      <c r="A83" s="108" t="s">
        <v>1028</v>
      </c>
      <c r="B83" s="108" t="s">
        <v>388</v>
      </c>
    </row>
    <row r="84" customFormat="false" ht="15" hidden="false" customHeight="false" outlineLevel="0" collapsed="false">
      <c r="A84" s="108" t="s">
        <v>1029</v>
      </c>
      <c r="B84" s="108" t="s">
        <v>388</v>
      </c>
    </row>
    <row r="85" customFormat="false" ht="15" hidden="false" customHeight="false" outlineLevel="0" collapsed="false">
      <c r="A85" s="108" t="s">
        <v>1030</v>
      </c>
      <c r="B85" s="108" t="s">
        <v>388</v>
      </c>
    </row>
    <row r="86" customFormat="false" ht="15" hidden="false" customHeight="false" outlineLevel="0" collapsed="false">
      <c r="A86" s="108" t="s">
        <v>1031</v>
      </c>
      <c r="B86" s="108" t="s">
        <v>388</v>
      </c>
    </row>
    <row r="87" customFormat="false" ht="15" hidden="false" customHeight="false" outlineLevel="0" collapsed="false">
      <c r="A87" s="108" t="s">
        <v>1032</v>
      </c>
      <c r="B87" s="108" t="s">
        <v>388</v>
      </c>
    </row>
    <row r="88" customFormat="false" ht="15" hidden="false" customHeight="false" outlineLevel="0" collapsed="false">
      <c r="A88" s="108" t="s">
        <v>1033</v>
      </c>
      <c r="B88" s="108" t="s">
        <v>388</v>
      </c>
    </row>
    <row r="89" customFormat="false" ht="15" hidden="false" customHeight="false" outlineLevel="0" collapsed="false">
      <c r="A89" s="108" t="s">
        <v>1034</v>
      </c>
      <c r="B89" s="108" t="s">
        <v>388</v>
      </c>
    </row>
    <row r="90" customFormat="false" ht="15" hidden="false" customHeight="false" outlineLevel="0" collapsed="false">
      <c r="A90" s="108" t="s">
        <v>1035</v>
      </c>
      <c r="B90" s="108" t="s">
        <v>388</v>
      </c>
    </row>
    <row r="91" customFormat="false" ht="15" hidden="false" customHeight="false" outlineLevel="0" collapsed="false">
      <c r="A91" s="108" t="s">
        <v>1036</v>
      </c>
      <c r="B91" s="108" t="s">
        <v>388</v>
      </c>
    </row>
    <row r="92" customFormat="false" ht="15" hidden="false" customHeight="false" outlineLevel="0" collapsed="false">
      <c r="A92" s="108" t="s">
        <v>1037</v>
      </c>
      <c r="B92" s="108" t="s">
        <v>388</v>
      </c>
    </row>
    <row r="93" customFormat="false" ht="15" hidden="false" customHeight="false" outlineLevel="0" collapsed="false">
      <c r="A93" s="108" t="s">
        <v>1038</v>
      </c>
      <c r="B93" s="108" t="s">
        <v>388</v>
      </c>
    </row>
    <row r="94" customFormat="false" ht="15" hidden="false" customHeight="false" outlineLevel="0" collapsed="false">
      <c r="A94" s="108" t="s">
        <v>1039</v>
      </c>
      <c r="B94" s="108" t="s">
        <v>388</v>
      </c>
    </row>
    <row r="95" customFormat="false" ht="15" hidden="false" customHeight="false" outlineLevel="0" collapsed="false">
      <c r="A95" s="108" t="s">
        <v>1040</v>
      </c>
      <c r="B95" s="108" t="s">
        <v>388</v>
      </c>
    </row>
    <row r="96" customFormat="false" ht="15" hidden="false" customHeight="false" outlineLevel="0" collapsed="false">
      <c r="A96" s="108" t="s">
        <v>1041</v>
      </c>
      <c r="B96" s="108" t="s">
        <v>412</v>
      </c>
    </row>
    <row r="97" customFormat="false" ht="15" hidden="false" customHeight="false" outlineLevel="0" collapsed="false">
      <c r="A97" s="108" t="s">
        <v>1042</v>
      </c>
      <c r="B97" s="108" t="s">
        <v>412</v>
      </c>
    </row>
    <row r="98" customFormat="false" ht="15" hidden="false" customHeight="false" outlineLevel="0" collapsed="false">
      <c r="A98" s="108" t="s">
        <v>1043</v>
      </c>
      <c r="B98" s="108" t="s">
        <v>412</v>
      </c>
    </row>
    <row r="99" customFormat="false" ht="15" hidden="false" customHeight="false" outlineLevel="0" collapsed="false">
      <c r="A99" s="108" t="s">
        <v>1044</v>
      </c>
      <c r="B99" s="108" t="s">
        <v>412</v>
      </c>
    </row>
    <row r="100" customFormat="false" ht="15" hidden="false" customHeight="false" outlineLevel="0" collapsed="false">
      <c r="A100" s="108" t="s">
        <v>1045</v>
      </c>
      <c r="B100" s="108" t="s">
        <v>404</v>
      </c>
    </row>
    <row r="101" customFormat="false" ht="15" hidden="false" customHeight="false" outlineLevel="0" collapsed="false">
      <c r="A101" s="108" t="s">
        <v>1046</v>
      </c>
      <c r="B101" s="108" t="s">
        <v>404</v>
      </c>
    </row>
    <row r="102" customFormat="false" ht="15" hidden="false" customHeight="false" outlineLevel="0" collapsed="false">
      <c r="A102" s="108" t="s">
        <v>1047</v>
      </c>
      <c r="B102" s="108" t="s">
        <v>404</v>
      </c>
    </row>
    <row r="103" customFormat="false" ht="15" hidden="false" customHeight="false" outlineLevel="0" collapsed="false">
      <c r="A103" s="108" t="s">
        <v>1048</v>
      </c>
      <c r="B103" s="108" t="s">
        <v>404</v>
      </c>
    </row>
    <row r="104" customFormat="false" ht="15" hidden="false" customHeight="false" outlineLevel="0" collapsed="false">
      <c r="A104" s="108" t="s">
        <v>1049</v>
      </c>
      <c r="B104" s="108" t="s">
        <v>404</v>
      </c>
    </row>
    <row r="105" customFormat="false" ht="15" hidden="false" customHeight="false" outlineLevel="0" collapsed="false">
      <c r="A105" s="108" t="s">
        <v>1050</v>
      </c>
      <c r="B105" s="108" t="s">
        <v>415</v>
      </c>
    </row>
    <row r="106" customFormat="false" ht="15" hidden="false" customHeight="false" outlineLevel="0" collapsed="false">
      <c r="A106" s="108" t="s">
        <v>1051</v>
      </c>
      <c r="B106" s="108" t="s">
        <v>415</v>
      </c>
    </row>
    <row r="107" customFormat="false" ht="15" hidden="false" customHeight="false" outlineLevel="0" collapsed="false">
      <c r="A107" s="108" t="s">
        <v>1052</v>
      </c>
      <c r="B107" s="108" t="s">
        <v>415</v>
      </c>
    </row>
    <row r="108" customFormat="false" ht="15" hidden="false" customHeight="false" outlineLevel="0" collapsed="false">
      <c r="A108" s="108" t="s">
        <v>1053</v>
      </c>
      <c r="B108" s="108" t="s">
        <v>415</v>
      </c>
    </row>
    <row r="109" customFormat="false" ht="15" hidden="false" customHeight="false" outlineLevel="0" collapsed="false">
      <c r="A109" s="108" t="s">
        <v>1054</v>
      </c>
      <c r="B109" s="108" t="s">
        <v>442</v>
      </c>
    </row>
    <row r="110" customFormat="false" ht="15" hidden="false" customHeight="false" outlineLevel="0" collapsed="false">
      <c r="A110" s="108" t="s">
        <v>1055</v>
      </c>
      <c r="B110" s="108" t="s">
        <v>442</v>
      </c>
    </row>
    <row r="111" customFormat="false" ht="15" hidden="false" customHeight="false" outlineLevel="0" collapsed="false">
      <c r="A111" s="108" t="s">
        <v>1056</v>
      </c>
      <c r="B111" s="108" t="s">
        <v>455</v>
      </c>
    </row>
    <row r="112" customFormat="false" ht="15" hidden="false" customHeight="false" outlineLevel="0" collapsed="false">
      <c r="A112" s="108" t="s">
        <v>1057</v>
      </c>
      <c r="B112" s="108" t="s">
        <v>455</v>
      </c>
    </row>
    <row r="113" customFormat="false" ht="15" hidden="false" customHeight="false" outlineLevel="0" collapsed="false">
      <c r="A113" s="108" t="s">
        <v>1058</v>
      </c>
      <c r="B113" s="108" t="s">
        <v>455</v>
      </c>
    </row>
    <row r="114" customFormat="false" ht="15" hidden="false" customHeight="false" outlineLevel="0" collapsed="false">
      <c r="A114" s="108" t="s">
        <v>1059</v>
      </c>
      <c r="B114" s="108" t="s">
        <v>455</v>
      </c>
    </row>
    <row r="115" customFormat="false" ht="15" hidden="false" customHeight="false" outlineLevel="0" collapsed="false">
      <c r="A115" s="108" t="s">
        <v>1060</v>
      </c>
      <c r="B115" s="108" t="s">
        <v>455</v>
      </c>
    </row>
    <row r="116" customFormat="false" ht="15" hidden="false" customHeight="false" outlineLevel="0" collapsed="false">
      <c r="A116" s="108" t="s">
        <v>1061</v>
      </c>
      <c r="B116" s="108" t="s">
        <v>455</v>
      </c>
    </row>
    <row r="117" customFormat="false" ht="15" hidden="false" customHeight="false" outlineLevel="0" collapsed="false">
      <c r="A117" s="108" t="s">
        <v>1062</v>
      </c>
      <c r="B117" s="108" t="s">
        <v>467</v>
      </c>
    </row>
    <row r="118" customFormat="false" ht="15" hidden="false" customHeight="false" outlineLevel="0" collapsed="false">
      <c r="A118" s="108" t="s">
        <v>1063</v>
      </c>
      <c r="B118" s="108" t="s">
        <v>467</v>
      </c>
    </row>
    <row r="119" customFormat="false" ht="15" hidden="false" customHeight="false" outlineLevel="0" collapsed="false">
      <c r="A119" s="108" t="s">
        <v>1064</v>
      </c>
      <c r="B119" s="108" t="s">
        <v>467</v>
      </c>
    </row>
    <row r="120" customFormat="false" ht="15" hidden="false" customHeight="false" outlineLevel="0" collapsed="false">
      <c r="A120" s="108" t="s">
        <v>1065</v>
      </c>
      <c r="B120" s="108" t="s">
        <v>467</v>
      </c>
    </row>
    <row r="121" customFormat="false" ht="15" hidden="false" customHeight="false" outlineLevel="0" collapsed="false">
      <c r="A121" s="108" t="s">
        <v>1066</v>
      </c>
      <c r="B121" s="108" t="s">
        <v>461</v>
      </c>
    </row>
    <row r="122" customFormat="false" ht="15" hidden="false" customHeight="false" outlineLevel="0" collapsed="false">
      <c r="A122" s="108" t="s">
        <v>1067</v>
      </c>
      <c r="B122" s="108" t="s">
        <v>461</v>
      </c>
    </row>
    <row r="123" customFormat="false" ht="15" hidden="false" customHeight="false" outlineLevel="0" collapsed="false">
      <c r="A123" s="108" t="s">
        <v>1068</v>
      </c>
      <c r="B123" s="108" t="s">
        <v>461</v>
      </c>
    </row>
    <row r="124" customFormat="false" ht="15" hidden="false" customHeight="false" outlineLevel="0" collapsed="false">
      <c r="A124" s="108" t="s">
        <v>1069</v>
      </c>
      <c r="B124" s="108" t="s">
        <v>461</v>
      </c>
    </row>
    <row r="125" customFormat="false" ht="15" hidden="false" customHeight="false" outlineLevel="0" collapsed="false">
      <c r="A125" s="108" t="s">
        <v>1070</v>
      </c>
      <c r="B125" s="108" t="s">
        <v>461</v>
      </c>
    </row>
    <row r="126" customFormat="false" ht="15" hidden="false" customHeight="false" outlineLevel="0" collapsed="false">
      <c r="A126" s="108" t="s">
        <v>1071</v>
      </c>
      <c r="B126" s="108" t="s">
        <v>485</v>
      </c>
    </row>
    <row r="127" customFormat="false" ht="15" hidden="false" customHeight="false" outlineLevel="0" collapsed="false">
      <c r="A127" s="108" t="s">
        <v>1072</v>
      </c>
      <c r="B127" s="108" t="s">
        <v>485</v>
      </c>
    </row>
    <row r="128" customFormat="false" ht="15" hidden="false" customHeight="false" outlineLevel="0" collapsed="false">
      <c r="A128" s="108" t="s">
        <v>1073</v>
      </c>
      <c r="B128" s="108" t="s">
        <v>485</v>
      </c>
    </row>
    <row r="129" customFormat="false" ht="15" hidden="false" customHeight="false" outlineLevel="0" collapsed="false">
      <c r="A129" s="108" t="s">
        <v>1074</v>
      </c>
      <c r="B129" s="108" t="s">
        <v>485</v>
      </c>
    </row>
    <row r="130" customFormat="false" ht="15" hidden="false" customHeight="false" outlineLevel="0" collapsed="false">
      <c r="A130" s="108" t="s">
        <v>1075</v>
      </c>
      <c r="B130" s="108" t="s">
        <v>485</v>
      </c>
    </row>
    <row r="131" customFormat="false" ht="15" hidden="false" customHeight="false" outlineLevel="0" collapsed="false">
      <c r="A131" s="108" t="s">
        <v>1076</v>
      </c>
      <c r="B131" s="108" t="s">
        <v>485</v>
      </c>
    </row>
    <row r="132" customFormat="false" ht="15" hidden="false" customHeight="false" outlineLevel="0" collapsed="false">
      <c r="A132" s="108" t="s">
        <v>1077</v>
      </c>
      <c r="B132" s="108" t="s">
        <v>485</v>
      </c>
    </row>
    <row r="133" customFormat="false" ht="15" hidden="false" customHeight="false" outlineLevel="0" collapsed="false">
      <c r="A133" s="108" t="s">
        <v>1078</v>
      </c>
      <c r="B133" s="108" t="s">
        <v>308</v>
      </c>
    </row>
    <row r="134" customFormat="false" ht="15" hidden="false" customHeight="false" outlineLevel="0" collapsed="false">
      <c r="A134" s="108" t="s">
        <v>1079</v>
      </c>
      <c r="B134" s="108" t="s">
        <v>308</v>
      </c>
    </row>
    <row r="135" customFormat="false" ht="15" hidden="false" customHeight="false" outlineLevel="0" collapsed="false">
      <c r="A135" s="108" t="s">
        <v>1080</v>
      </c>
      <c r="B135" s="108" t="s">
        <v>308</v>
      </c>
    </row>
    <row r="136" customFormat="false" ht="15" hidden="false" customHeight="false" outlineLevel="0" collapsed="false">
      <c r="A136" s="108" t="s">
        <v>1081</v>
      </c>
      <c r="B136" s="108" t="s">
        <v>308</v>
      </c>
    </row>
    <row r="137" customFormat="false" ht="15" hidden="false" customHeight="false" outlineLevel="0" collapsed="false">
      <c r="A137" s="108" t="s">
        <v>1082</v>
      </c>
      <c r="B137" s="108" t="s">
        <v>517</v>
      </c>
    </row>
    <row r="138" customFormat="false" ht="15" hidden="false" customHeight="false" outlineLevel="0" collapsed="false">
      <c r="A138" s="108" t="s">
        <v>1083</v>
      </c>
      <c r="B138" s="108" t="s">
        <v>517</v>
      </c>
    </row>
    <row r="139" customFormat="false" ht="15" hidden="false" customHeight="false" outlineLevel="0" collapsed="false">
      <c r="A139" s="108" t="s">
        <v>1084</v>
      </c>
      <c r="B139" s="108" t="s">
        <v>517</v>
      </c>
    </row>
    <row r="140" customFormat="false" ht="15" hidden="false" customHeight="false" outlineLevel="0" collapsed="false">
      <c r="A140" s="108" t="s">
        <v>1085</v>
      </c>
      <c r="B140" s="108" t="s">
        <v>517</v>
      </c>
    </row>
    <row r="141" customFormat="false" ht="15" hidden="false" customHeight="false" outlineLevel="0" collapsed="false">
      <c r="A141" s="108"/>
      <c r="B141" s="108"/>
    </row>
    <row r="142" customFormat="false" ht="15" hidden="false" customHeight="false" outlineLevel="0" collapsed="false">
      <c r="A142" s="108"/>
      <c r="B142" s="108"/>
    </row>
    <row r="143" customFormat="false" ht="15" hidden="false" customHeight="false" outlineLevel="0" collapsed="false">
      <c r="A143" s="108"/>
      <c r="B143" s="108"/>
    </row>
    <row r="144" customFormat="false" ht="15" hidden="false" customHeight="false" outlineLevel="0" collapsed="false">
      <c r="A144" s="108"/>
      <c r="B144" s="108"/>
    </row>
    <row r="145" customFormat="false" ht="15" hidden="false" customHeight="false" outlineLevel="0" collapsed="false">
      <c r="A145" s="108"/>
      <c r="B145" s="108"/>
    </row>
    <row r="146" customFormat="false" ht="15" hidden="false" customHeight="false" outlineLevel="0" collapsed="false">
      <c r="A146" s="108"/>
      <c r="B146" s="108"/>
    </row>
    <row r="147" customFormat="false" ht="15" hidden="false" customHeight="false" outlineLevel="0" collapsed="false">
      <c r="A147" s="108"/>
      <c r="B147" s="108"/>
    </row>
    <row r="148" customFormat="false" ht="15" hidden="false" customHeight="false" outlineLevel="0" collapsed="false">
      <c r="A148" s="108"/>
      <c r="B148" s="108"/>
    </row>
    <row r="149" customFormat="false" ht="15" hidden="false" customHeight="false" outlineLevel="0" collapsed="false">
      <c r="A149" s="108"/>
      <c r="B149" s="108"/>
    </row>
    <row r="150" customFormat="false" ht="15" hidden="false" customHeight="false" outlineLevel="0" collapsed="false">
      <c r="A150" s="108"/>
      <c r="B150" s="108"/>
    </row>
    <row r="151" customFormat="false" ht="15" hidden="false" customHeight="false" outlineLevel="0" collapsed="false">
      <c r="A151" s="108"/>
      <c r="B151" s="108"/>
    </row>
    <row r="152" customFormat="false" ht="15" hidden="false" customHeight="false" outlineLevel="0" collapsed="false">
      <c r="A152" s="108"/>
      <c r="B152" s="108"/>
    </row>
    <row r="153" customFormat="false" ht="15" hidden="false" customHeight="false" outlineLevel="0" collapsed="false">
      <c r="A153" s="108"/>
      <c r="B153" s="108"/>
    </row>
    <row r="154" customFormat="false" ht="15" hidden="false" customHeight="false" outlineLevel="0" collapsed="false">
      <c r="A154" s="108"/>
      <c r="B154" s="108"/>
    </row>
    <row r="155" customFormat="false" ht="15" hidden="false" customHeight="false" outlineLevel="0" collapsed="false">
      <c r="A155" s="108"/>
      <c r="B155" s="108"/>
    </row>
    <row r="156" customFormat="false" ht="15" hidden="false" customHeight="false" outlineLevel="0" collapsed="false">
      <c r="A156" s="108"/>
      <c r="B156" s="108"/>
    </row>
    <row r="157" customFormat="false" ht="15" hidden="false" customHeight="false" outlineLevel="0" collapsed="false">
      <c r="A157" s="108"/>
      <c r="B157" s="108"/>
    </row>
    <row r="158" customFormat="false" ht="15" hidden="false" customHeight="false" outlineLevel="0" collapsed="false">
      <c r="A158" s="108"/>
      <c r="B158" s="108"/>
    </row>
    <row r="159" customFormat="false" ht="15" hidden="false" customHeight="false" outlineLevel="0" collapsed="false">
      <c r="A159" s="108"/>
      <c r="B159" s="108"/>
    </row>
    <row r="160" customFormat="false" ht="15" hidden="false" customHeight="false" outlineLevel="0" collapsed="false">
      <c r="A160" s="108"/>
      <c r="B160" s="108"/>
    </row>
    <row r="161" customFormat="false" ht="15" hidden="false" customHeight="false" outlineLevel="0" collapsed="false">
      <c r="A161" s="108"/>
      <c r="B161" s="108"/>
    </row>
    <row r="162" customFormat="false" ht="15" hidden="false" customHeight="false" outlineLevel="0" collapsed="false">
      <c r="A162" s="108"/>
      <c r="B162" s="108"/>
    </row>
    <row r="163" customFormat="false" ht="15" hidden="false" customHeight="false" outlineLevel="0" collapsed="false">
      <c r="A163" s="108"/>
      <c r="B163" s="108"/>
    </row>
    <row r="164" customFormat="false" ht="15" hidden="false" customHeight="false" outlineLevel="0" collapsed="false">
      <c r="A164" s="108"/>
      <c r="B164" s="108"/>
    </row>
    <row r="165" customFormat="false" ht="15" hidden="false" customHeight="false" outlineLevel="0" collapsed="false">
      <c r="A165" s="108"/>
      <c r="B165" s="108"/>
    </row>
  </sheetData>
  <sheetProtection sheet="true" scenarios="true" formatCells="false" formatColumns="false" formatRows="false" sort="false" autoFilter="false"/>
  <conditionalFormatting sqref="B5:B165">
    <cfRule type="expression" priority="2" aboveAverage="0" equalAverage="0" bottom="0" percent="0" rank="0" text="" dxfId="17">
      <formula>AND(B5&lt;&gt;"",COUNTIF(Budget!$A$5:$A$34,B5)=0)</formula>
    </cfRule>
  </conditionalFormatting>
  <conditionalFormatting sqref="A5:C165">
    <cfRule type="expression" priority="3" aboveAverage="0" equalAverage="0" bottom="0" percent="0" rank="0" text="" dxfId="5">
      <formula>MOD(ROW(),2)=0</formula>
    </cfRule>
  </conditionalFormatting>
  <dataValidations count="1">
    <dataValidation allowBlank="true" errorStyle="stop" operator="between" showDropDown="false" showErrorMessage="false" showInputMessage="false" sqref="B5:B165" type="list">
      <formula1>Budget!$A$5:$A$34</formula1>
      <formula2>0</formula2>
    </dataValidation>
  </dataValidations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Keywords&amp;R&amp;8 Page &amp;P of &amp;N · printed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6" min="5" style="0" width="28"/>
    <col collapsed="false" customWidth="true" hidden="false" outlineLevel="0" max="7" min="7" style="0" width="22"/>
    <col collapsed="false" customWidth="true" hidden="false" outlineLevel="0" max="8" min="8" style="0" width="11"/>
    <col collapsed="false" customWidth="true" hidden="false" outlineLevel="0" max="9" min="9" style="0" width="26"/>
    <col collapsed="false" customWidth="true" hidden="false" outlineLevel="0" max="10" min="10" style="0" width="9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22"/>
    <col collapsed="false" customWidth="true" hidden="false" outlineLevel="0" max="14" min="14" style="0" width="10"/>
    <col collapsed="false" customWidth="true" hidden="false" outlineLevel="0" max="15" min="15" style="0" width="12"/>
    <col collapsed="false" customWidth="true" hidden="false" outlineLevel="0" max="16" min="16" style="0" width="10"/>
    <col collapsed="false" customWidth="true" hidden="false" outlineLevel="0" max="17" min="17" style="0" width="8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false" ht="24" hidden="false" customHeight="true" outlineLevel="0" collapsed="false">
      <c r="A2" s="98" t="s">
        <v>40</v>
      </c>
      <c r="C2" s="139" t="s">
        <v>1086</v>
      </c>
      <c r="D2" s="139" t="s">
        <v>1087</v>
      </c>
      <c r="E2" s="139" t="s">
        <v>1088</v>
      </c>
      <c r="F2" s="139" t="s">
        <v>1089</v>
      </c>
    </row>
    <row r="3" customFormat="false" ht="24" hidden="false" customHeight="true" outlineLevel="0" collapsed="false">
      <c r="C3" s="140" t="n">
        <f aca="true">SUMIFS(K5:K604,H5:H604,DATE(YEAR(TODAY()),MONTH(TODAY()),1),L5:L604,"&lt;&gt;Income",L5:L604,"&lt;&gt;Transfer")</f>
        <v>86.42</v>
      </c>
      <c r="D3" s="182" t="n">
        <f aca="true">COUNTIFS(H5:H604,DATE(YEAR(TODAY()),MONTH(TODAY()),1))</f>
        <v>1</v>
      </c>
      <c r="E3" s="182" t="n">
        <f aca="false">COUNTIF(F5:F604,"Uncategorized")</f>
        <v>0</v>
      </c>
      <c r="F3" s="140" t="n">
        <f aca="false">Budget!$C$38</f>
        <v>0</v>
      </c>
      <c r="L3" s="21" t="s">
        <v>1090</v>
      </c>
    </row>
    <row r="4" customFormat="false" ht="19.5" hidden="false" customHeight="true" outlineLevel="0" collapsed="false">
      <c r="A4" s="107" t="s">
        <v>45</v>
      </c>
      <c r="B4" s="107" t="s">
        <v>47</v>
      </c>
      <c r="C4" s="107" t="s">
        <v>48</v>
      </c>
      <c r="D4" s="107" t="s">
        <v>1091</v>
      </c>
      <c r="E4" s="107" t="s">
        <v>1092</v>
      </c>
      <c r="F4" s="107" t="s">
        <v>1093</v>
      </c>
      <c r="G4" s="107" t="s">
        <v>51</v>
      </c>
      <c r="H4" s="107" t="s">
        <v>731</v>
      </c>
      <c r="I4" s="107" t="s">
        <v>163</v>
      </c>
      <c r="J4" s="107" t="s">
        <v>160</v>
      </c>
      <c r="K4" s="107" t="s">
        <v>769</v>
      </c>
      <c r="L4" s="107" t="s">
        <v>226</v>
      </c>
      <c r="M4" s="107" t="s">
        <v>1094</v>
      </c>
      <c r="N4" s="107" t="s">
        <v>1095</v>
      </c>
      <c r="O4" s="107" t="s">
        <v>1096</v>
      </c>
      <c r="P4" s="107" t="s">
        <v>1097</v>
      </c>
      <c r="Q4" s="107" t="s">
        <v>1098</v>
      </c>
    </row>
    <row r="5" customFormat="false" ht="15" hidden="false" customHeight="false" outlineLevel="0" collapsed="false">
      <c r="A5" s="110" t="n">
        <f aca="true">TODAY()</f>
        <v>46308</v>
      </c>
      <c r="B5" s="108" t="s">
        <v>1099</v>
      </c>
      <c r="C5" s="142" t="n">
        <v>86.42</v>
      </c>
      <c r="D5" s="108"/>
      <c r="E5" s="183" t="str">
        <f aca="false" t="array" ref="E5:E5">IF(B5="","",IFERROR(INDEX(Keywords!$B$5:$B$165,MAX(ISNUMBER(SEARCH(Keywords!$A$5:$A$165,B5))*(Keywords!$A$5:$A$165&lt;&gt;"")*ROW(Keywords!$A$5:$A$165))-4),""))</f>
        <v>Groceries &amp; household</v>
      </c>
      <c r="F5" s="150" t="str">
        <f aca="false">IF(B5="","",IF(L5="Transfer","Transfer",IF(L5="Income","Income",IF(D5&lt;&gt;"",D5,IF(E5&lt;&gt;"",E5,"Uncategorized")))))</f>
        <v>Groceries &amp; household</v>
      </c>
      <c r="G5" s="108" t="s">
        <v>52</v>
      </c>
      <c r="H5" s="184" t="n">
        <f aca="false">IF(A5="","",DATE(YEAR(A5),MONTH(A5),1))</f>
        <v>46296</v>
      </c>
      <c r="I5" s="145" t="s">
        <v>1100</v>
      </c>
      <c r="J5" s="144"/>
      <c r="K5" s="159" t="n">
        <f aca="false">IF(C5="","",N(C5)/IF(N5&lt;&gt;"",N5,IF(J5="",1,IFERROR(INDEX(Setup!$C$23:$C$46,MATCH(J5,Setup!$A$23:$A$46,0)),1))))</f>
        <v>86.42</v>
      </c>
      <c r="L5" s="144"/>
      <c r="M5" s="108"/>
      <c r="N5" s="111"/>
      <c r="O5" s="156" t="str">
        <f aca="false">IF(OR(B5="",L5="Transfer"),"",IF(COUNTIFS($B$5:$B$604,B5,$H$5:$H$604,EDATE(H5,-1),$C$5:$C$604,"&gt;="&amp;C5*0.85,$C$5:$C$604,"&lt;="&amp;C5*1.15)&gt;0,"recurring",""))</f>
        <v/>
      </c>
      <c r="P5" s="157" t="n">
        <f aca="false">IF(B5="","",IF(COUNTIF(B5:$B$604,B5)=1,1,""))</f>
        <v>1</v>
      </c>
      <c r="Q5" s="157" t="str">
        <f aca="false">IF(AND(O5="recurring",P5=1),COUNTIFS($O$5:O5,"recurring",$P$5:P5,1),"")</f>
        <v/>
      </c>
    </row>
    <row r="6" customFormat="false" ht="15" hidden="false" customHeight="false" outlineLevel="0" collapsed="false">
      <c r="A6" s="110"/>
      <c r="B6" s="108"/>
      <c r="C6" s="142"/>
      <c r="D6" s="108"/>
      <c r="E6" s="183" t="str">
        <f aca="false" t="array" ref="E6:E6">IF(B6="","",IFERROR(INDEX(Keywords!$B$5:$B$165,MAX(ISNUMBER(SEARCH(Keywords!$A$5:$A$165,B6))*(Keywords!$A$5:$A$165&lt;&gt;"")*ROW(Keywords!$A$5:$A$165))-4),""))</f>
        <v/>
      </c>
      <c r="F6" s="150" t="str">
        <f aca="false">IF(B6="","",IF(L6="Transfer","Transfer",IF(L6="Income","Income",IF(D6&lt;&gt;"",D6,IF(E6&lt;&gt;"",E6,"Uncategorized")))))</f>
        <v/>
      </c>
      <c r="G6" s="108"/>
      <c r="H6" s="184" t="str">
        <f aca="false">IF(A6="","",DATE(YEAR(A6),MONTH(A6),1))</f>
        <v/>
      </c>
      <c r="I6" s="185"/>
      <c r="J6" s="144"/>
      <c r="K6" s="159" t="str">
        <f aca="false">IF(C6="","",N(C6)/IF(N6&lt;&gt;"",N6,IF(J6="",1,IFERROR(INDEX(Setup!$C$23:$C$46,MATCH(J6,Setup!$A$23:$A$46,0)),1))))</f>
        <v/>
      </c>
      <c r="L6" s="144"/>
      <c r="M6" s="108"/>
      <c r="N6" s="111"/>
      <c r="O6" s="156" t="str">
        <f aca="false">IF(OR(B6="",L6="Transfer"),"",IF(COUNTIFS($B$5:$B$604,B6,$H$5:$H$604,EDATE(H6,-1),$C$5:$C$604,"&gt;="&amp;C6*0.85,$C$5:$C$604,"&lt;="&amp;C6*1.15)&gt;0,"recurring",""))</f>
        <v/>
      </c>
      <c r="P6" s="157" t="str">
        <f aca="false">IF(B6="","",IF(COUNTIF(B6:$B$604,B6)=1,1,""))</f>
        <v/>
      </c>
      <c r="Q6" s="157" t="str">
        <f aca="false">IF(AND(O6="recurring",P6=1),COUNTIFS($O$5:O6,"recurring",$P$5:P6,1),"")</f>
        <v/>
      </c>
    </row>
    <row r="7" customFormat="false" ht="15" hidden="false" customHeight="false" outlineLevel="0" collapsed="false">
      <c r="A7" s="110"/>
      <c r="B7" s="108"/>
      <c r="C7" s="142"/>
      <c r="D7" s="108"/>
      <c r="E7" s="183" t="str">
        <f aca="false" t="array" ref="E7:E7">IF(B7="","",IFERROR(INDEX(Keywords!$B$5:$B$165,MAX(ISNUMBER(SEARCH(Keywords!$A$5:$A$165,B7))*(Keywords!$A$5:$A$165&lt;&gt;"")*ROW(Keywords!$A$5:$A$165))-4),""))</f>
        <v/>
      </c>
      <c r="F7" s="150" t="str">
        <f aca="false">IF(B7="","",IF(L7="Transfer","Transfer",IF(L7="Income","Income",IF(D7&lt;&gt;"",D7,IF(E7&lt;&gt;"",E7,"Uncategorized")))))</f>
        <v/>
      </c>
      <c r="G7" s="108"/>
      <c r="H7" s="184" t="str">
        <f aca="false">IF(A7="","",DATE(YEAR(A7),MONTH(A7),1))</f>
        <v/>
      </c>
      <c r="I7" s="185"/>
      <c r="J7" s="144"/>
      <c r="K7" s="159" t="str">
        <f aca="false">IF(C7="","",N(C7)/IF(N7&lt;&gt;"",N7,IF(J7="",1,IFERROR(INDEX(Setup!$C$23:$C$46,MATCH(J7,Setup!$A$23:$A$46,0)),1))))</f>
        <v/>
      </c>
      <c r="L7" s="144"/>
      <c r="M7" s="108"/>
      <c r="N7" s="111"/>
      <c r="O7" s="156" t="str">
        <f aca="false">IF(OR(B7="",L7="Transfer"),"",IF(COUNTIFS($B$5:$B$604,B7,$H$5:$H$604,EDATE(H7,-1),$C$5:$C$604,"&gt;="&amp;C7*0.85,$C$5:$C$604,"&lt;="&amp;C7*1.15)&gt;0,"recurring",""))</f>
        <v/>
      </c>
      <c r="P7" s="157" t="str">
        <f aca="false">IF(B7="","",IF(COUNTIF(B7:$B$604,B7)=1,1,""))</f>
        <v/>
      </c>
      <c r="Q7" s="157" t="str">
        <f aca="false">IF(AND(O7="recurring",P7=1),COUNTIFS($O$5:O7,"recurring",$P$5:P7,1),"")</f>
        <v/>
      </c>
    </row>
    <row r="8" customFormat="false" ht="15" hidden="false" customHeight="false" outlineLevel="0" collapsed="false">
      <c r="A8" s="110"/>
      <c r="B8" s="108"/>
      <c r="C8" s="142"/>
      <c r="D8" s="108"/>
      <c r="E8" s="183" t="str">
        <f aca="false" t="array" ref="E8:E8">IF(B8="","",IFERROR(INDEX(Keywords!$B$5:$B$165,MAX(ISNUMBER(SEARCH(Keywords!$A$5:$A$165,B8))*(Keywords!$A$5:$A$165&lt;&gt;"")*ROW(Keywords!$A$5:$A$165))-4),""))</f>
        <v/>
      </c>
      <c r="F8" s="150" t="str">
        <f aca="false">IF(B8="","",IF(L8="Transfer","Transfer",IF(L8="Income","Income",IF(D8&lt;&gt;"",D8,IF(E8&lt;&gt;"",E8,"Uncategorized")))))</f>
        <v/>
      </c>
      <c r="G8" s="108"/>
      <c r="H8" s="184" t="str">
        <f aca="false">IF(A8="","",DATE(YEAR(A8),MONTH(A8),1))</f>
        <v/>
      </c>
      <c r="I8" s="185"/>
      <c r="J8" s="144"/>
      <c r="K8" s="159" t="str">
        <f aca="false">IF(C8="","",N(C8)/IF(N8&lt;&gt;"",N8,IF(J8="",1,IFERROR(INDEX(Setup!$C$23:$C$46,MATCH(J8,Setup!$A$23:$A$46,0)),1))))</f>
        <v/>
      </c>
      <c r="L8" s="144"/>
      <c r="M8" s="108"/>
      <c r="N8" s="111"/>
      <c r="O8" s="156" t="str">
        <f aca="false">IF(OR(B8="",L8="Transfer"),"",IF(COUNTIFS($B$5:$B$604,B8,$H$5:$H$604,EDATE(H8,-1),$C$5:$C$604,"&gt;="&amp;C8*0.85,$C$5:$C$604,"&lt;="&amp;C8*1.15)&gt;0,"recurring",""))</f>
        <v/>
      </c>
      <c r="P8" s="157" t="str">
        <f aca="false">IF(B8="","",IF(COUNTIF(B8:$B$604,B8)=1,1,""))</f>
        <v/>
      </c>
      <c r="Q8" s="157" t="str">
        <f aca="false">IF(AND(O8="recurring",P8=1),COUNTIFS($O$5:O8,"recurring",$P$5:P8,1),"")</f>
        <v/>
      </c>
    </row>
    <row r="9" customFormat="false" ht="15" hidden="false" customHeight="false" outlineLevel="0" collapsed="false">
      <c r="A9" s="110"/>
      <c r="B9" s="108"/>
      <c r="C9" s="142"/>
      <c r="D9" s="108"/>
      <c r="E9" s="183" t="str">
        <f aca="false" t="array" ref="E9:E9">IF(B9="","",IFERROR(INDEX(Keywords!$B$5:$B$165,MAX(ISNUMBER(SEARCH(Keywords!$A$5:$A$165,B9))*(Keywords!$A$5:$A$165&lt;&gt;"")*ROW(Keywords!$A$5:$A$165))-4),""))</f>
        <v/>
      </c>
      <c r="F9" s="150" t="str">
        <f aca="false">IF(B9="","",IF(L9="Transfer","Transfer",IF(L9="Income","Income",IF(D9&lt;&gt;"",D9,IF(E9&lt;&gt;"",E9,"Uncategorized")))))</f>
        <v/>
      </c>
      <c r="G9" s="108"/>
      <c r="H9" s="184" t="str">
        <f aca="false">IF(A9="","",DATE(YEAR(A9),MONTH(A9),1))</f>
        <v/>
      </c>
      <c r="I9" s="185"/>
      <c r="J9" s="144"/>
      <c r="K9" s="159" t="str">
        <f aca="false">IF(C9="","",N(C9)/IF(N9&lt;&gt;"",N9,IF(J9="",1,IFERROR(INDEX(Setup!$C$23:$C$46,MATCH(J9,Setup!$A$23:$A$46,0)),1))))</f>
        <v/>
      </c>
      <c r="L9" s="144"/>
      <c r="M9" s="108"/>
      <c r="N9" s="111"/>
      <c r="O9" s="156" t="str">
        <f aca="false">IF(OR(B9="",L9="Transfer"),"",IF(COUNTIFS($B$5:$B$604,B9,$H$5:$H$604,EDATE(H9,-1),$C$5:$C$604,"&gt;="&amp;C9*0.85,$C$5:$C$604,"&lt;="&amp;C9*1.15)&gt;0,"recurring",""))</f>
        <v/>
      </c>
      <c r="P9" s="157" t="str">
        <f aca="false">IF(B9="","",IF(COUNTIF(B9:$B$604,B9)=1,1,""))</f>
        <v/>
      </c>
      <c r="Q9" s="157" t="str">
        <f aca="false">IF(AND(O9="recurring",P9=1),COUNTIFS($O$5:O9,"recurring",$P$5:P9,1),"")</f>
        <v/>
      </c>
    </row>
    <row r="10" customFormat="false" ht="15" hidden="false" customHeight="false" outlineLevel="0" collapsed="false">
      <c r="A10" s="110"/>
      <c r="B10" s="108"/>
      <c r="C10" s="142"/>
      <c r="D10" s="108"/>
      <c r="E10" s="183" t="str">
        <f aca="false" t="array" ref="E10:E10">IF(B10="","",IFERROR(INDEX(Keywords!$B$5:$B$165,MAX(ISNUMBER(SEARCH(Keywords!$A$5:$A$165,B10))*(Keywords!$A$5:$A$165&lt;&gt;"")*ROW(Keywords!$A$5:$A$165))-4),""))</f>
        <v/>
      </c>
      <c r="F10" s="150" t="str">
        <f aca="false">IF(B10="","",IF(L10="Transfer","Transfer",IF(L10="Income","Income",IF(D10&lt;&gt;"",D10,IF(E10&lt;&gt;"",E10,"Uncategorized")))))</f>
        <v/>
      </c>
      <c r="G10" s="108"/>
      <c r="H10" s="184" t="str">
        <f aca="false">IF(A10="","",DATE(YEAR(A10),MONTH(A10),1))</f>
        <v/>
      </c>
      <c r="I10" s="185"/>
      <c r="J10" s="144"/>
      <c r="K10" s="159" t="str">
        <f aca="false">IF(C10="","",N(C10)/IF(N10&lt;&gt;"",N10,IF(J10="",1,IFERROR(INDEX(Setup!$C$23:$C$46,MATCH(J10,Setup!$A$23:$A$46,0)),1))))</f>
        <v/>
      </c>
      <c r="L10" s="144"/>
      <c r="M10" s="108"/>
      <c r="N10" s="111"/>
      <c r="O10" s="156" t="str">
        <f aca="false">IF(OR(B10="",L10="Transfer"),"",IF(COUNTIFS($B$5:$B$604,B10,$H$5:$H$604,EDATE(H10,-1),$C$5:$C$604,"&gt;="&amp;C10*0.85,$C$5:$C$604,"&lt;="&amp;C10*1.15)&gt;0,"recurring",""))</f>
        <v/>
      </c>
      <c r="P10" s="157" t="str">
        <f aca="false">IF(B10="","",IF(COUNTIF(B10:$B$604,B10)=1,1,""))</f>
        <v/>
      </c>
      <c r="Q10" s="157" t="str">
        <f aca="false">IF(AND(O10="recurring",P10=1),COUNTIFS($O$5:O10,"recurring",$P$5:P10,1),"")</f>
        <v/>
      </c>
    </row>
    <row r="11" customFormat="false" ht="15" hidden="false" customHeight="false" outlineLevel="0" collapsed="false">
      <c r="A11" s="110"/>
      <c r="B11" s="108"/>
      <c r="C11" s="142"/>
      <c r="D11" s="108"/>
      <c r="E11" s="183" t="str">
        <f aca="false" t="array" ref="E11:E11">IF(B11="","",IFERROR(INDEX(Keywords!$B$5:$B$165,MAX(ISNUMBER(SEARCH(Keywords!$A$5:$A$165,B11))*(Keywords!$A$5:$A$165&lt;&gt;"")*ROW(Keywords!$A$5:$A$165))-4),""))</f>
        <v/>
      </c>
      <c r="F11" s="150" t="str">
        <f aca="false">IF(B11="","",IF(L11="Transfer","Transfer",IF(L11="Income","Income",IF(D11&lt;&gt;"",D11,IF(E11&lt;&gt;"",E11,"Uncategorized")))))</f>
        <v/>
      </c>
      <c r="G11" s="108"/>
      <c r="H11" s="184" t="str">
        <f aca="false">IF(A11="","",DATE(YEAR(A11),MONTH(A11),1))</f>
        <v/>
      </c>
      <c r="I11" s="185"/>
      <c r="J11" s="144"/>
      <c r="K11" s="159" t="str">
        <f aca="false">IF(C11="","",N(C11)/IF(N11&lt;&gt;"",N11,IF(J11="",1,IFERROR(INDEX(Setup!$C$23:$C$46,MATCH(J11,Setup!$A$23:$A$46,0)),1))))</f>
        <v/>
      </c>
      <c r="L11" s="144"/>
      <c r="M11" s="108"/>
      <c r="N11" s="111"/>
      <c r="O11" s="156" t="str">
        <f aca="false">IF(OR(B11="",L11="Transfer"),"",IF(COUNTIFS($B$5:$B$604,B11,$H$5:$H$604,EDATE(H11,-1),$C$5:$C$604,"&gt;="&amp;C11*0.85,$C$5:$C$604,"&lt;="&amp;C11*1.15)&gt;0,"recurring",""))</f>
        <v/>
      </c>
      <c r="P11" s="157" t="str">
        <f aca="false">IF(B11="","",IF(COUNTIF(B11:$B$604,B11)=1,1,""))</f>
        <v/>
      </c>
      <c r="Q11" s="157" t="str">
        <f aca="false">IF(AND(O11="recurring",P11=1),COUNTIFS($O$5:O11,"recurring",$P$5:P11,1),"")</f>
        <v/>
      </c>
    </row>
    <row r="12" customFormat="false" ht="15" hidden="false" customHeight="false" outlineLevel="0" collapsed="false">
      <c r="A12" s="110"/>
      <c r="B12" s="108"/>
      <c r="C12" s="142"/>
      <c r="D12" s="108"/>
      <c r="E12" s="183" t="str">
        <f aca="false" t="array" ref="E12:E12">IF(B12="","",IFERROR(INDEX(Keywords!$B$5:$B$165,MAX(ISNUMBER(SEARCH(Keywords!$A$5:$A$165,B12))*(Keywords!$A$5:$A$165&lt;&gt;"")*ROW(Keywords!$A$5:$A$165))-4),""))</f>
        <v/>
      </c>
      <c r="F12" s="150" t="str">
        <f aca="false">IF(B12="","",IF(L12="Transfer","Transfer",IF(L12="Income","Income",IF(D12&lt;&gt;"",D12,IF(E12&lt;&gt;"",E12,"Uncategorized")))))</f>
        <v/>
      </c>
      <c r="G12" s="108"/>
      <c r="H12" s="184" t="str">
        <f aca="false">IF(A12="","",DATE(YEAR(A12),MONTH(A12),1))</f>
        <v/>
      </c>
      <c r="I12" s="185"/>
      <c r="J12" s="144"/>
      <c r="K12" s="159" t="str">
        <f aca="false">IF(C12="","",N(C12)/IF(N12&lt;&gt;"",N12,IF(J12="",1,IFERROR(INDEX(Setup!$C$23:$C$46,MATCH(J12,Setup!$A$23:$A$46,0)),1))))</f>
        <v/>
      </c>
      <c r="L12" s="144"/>
      <c r="M12" s="108"/>
      <c r="N12" s="111"/>
      <c r="O12" s="156" t="str">
        <f aca="false">IF(OR(B12="",L12="Transfer"),"",IF(COUNTIFS($B$5:$B$604,B12,$H$5:$H$604,EDATE(H12,-1),$C$5:$C$604,"&gt;="&amp;C12*0.85,$C$5:$C$604,"&lt;="&amp;C12*1.15)&gt;0,"recurring",""))</f>
        <v/>
      </c>
      <c r="P12" s="157" t="str">
        <f aca="false">IF(B12="","",IF(COUNTIF(B12:$B$604,B12)=1,1,""))</f>
        <v/>
      </c>
      <c r="Q12" s="157" t="str">
        <f aca="false">IF(AND(O12="recurring",P12=1),COUNTIFS($O$5:O12,"recurring",$P$5:P12,1),"")</f>
        <v/>
      </c>
    </row>
    <row r="13" customFormat="false" ht="15" hidden="false" customHeight="false" outlineLevel="0" collapsed="false">
      <c r="A13" s="110"/>
      <c r="B13" s="108"/>
      <c r="C13" s="142"/>
      <c r="D13" s="108"/>
      <c r="E13" s="183" t="str">
        <f aca="false" t="array" ref="E13:E13">IF(B13="","",IFERROR(INDEX(Keywords!$B$5:$B$165,MAX(ISNUMBER(SEARCH(Keywords!$A$5:$A$165,B13))*(Keywords!$A$5:$A$165&lt;&gt;"")*ROW(Keywords!$A$5:$A$165))-4),""))</f>
        <v/>
      </c>
      <c r="F13" s="150" t="str">
        <f aca="false">IF(B13="","",IF(L13="Transfer","Transfer",IF(L13="Income","Income",IF(D13&lt;&gt;"",D13,IF(E13&lt;&gt;"",E13,"Uncategorized")))))</f>
        <v/>
      </c>
      <c r="G13" s="108"/>
      <c r="H13" s="184" t="str">
        <f aca="false">IF(A13="","",DATE(YEAR(A13),MONTH(A13),1))</f>
        <v/>
      </c>
      <c r="I13" s="185"/>
      <c r="J13" s="144"/>
      <c r="K13" s="159" t="str">
        <f aca="false">IF(C13="","",N(C13)/IF(N13&lt;&gt;"",N13,IF(J13="",1,IFERROR(INDEX(Setup!$C$23:$C$46,MATCH(J13,Setup!$A$23:$A$46,0)),1))))</f>
        <v/>
      </c>
      <c r="L13" s="144"/>
      <c r="M13" s="108"/>
      <c r="N13" s="111"/>
      <c r="O13" s="156" t="str">
        <f aca="false">IF(OR(B13="",L13="Transfer"),"",IF(COUNTIFS($B$5:$B$604,B13,$H$5:$H$604,EDATE(H13,-1),$C$5:$C$604,"&gt;="&amp;C13*0.85,$C$5:$C$604,"&lt;="&amp;C13*1.15)&gt;0,"recurring",""))</f>
        <v/>
      </c>
      <c r="P13" s="157" t="str">
        <f aca="false">IF(B13="","",IF(COUNTIF(B13:$B$604,B13)=1,1,""))</f>
        <v/>
      </c>
      <c r="Q13" s="157" t="str">
        <f aca="false">IF(AND(O13="recurring",P13=1),COUNTIFS($O$5:O13,"recurring",$P$5:P13,1),"")</f>
        <v/>
      </c>
    </row>
    <row r="14" customFormat="false" ht="15" hidden="false" customHeight="false" outlineLevel="0" collapsed="false">
      <c r="A14" s="110"/>
      <c r="B14" s="108"/>
      <c r="C14" s="142"/>
      <c r="D14" s="108"/>
      <c r="E14" s="183" t="str">
        <f aca="false" t="array" ref="E14:E14">IF(B14="","",IFERROR(INDEX(Keywords!$B$5:$B$165,MAX(ISNUMBER(SEARCH(Keywords!$A$5:$A$165,B14))*(Keywords!$A$5:$A$165&lt;&gt;"")*ROW(Keywords!$A$5:$A$165))-4),""))</f>
        <v/>
      </c>
      <c r="F14" s="150" t="str">
        <f aca="false">IF(B14="","",IF(L14="Transfer","Transfer",IF(L14="Income","Income",IF(D14&lt;&gt;"",D14,IF(E14&lt;&gt;"",E14,"Uncategorized")))))</f>
        <v/>
      </c>
      <c r="G14" s="108"/>
      <c r="H14" s="184" t="str">
        <f aca="false">IF(A14="","",DATE(YEAR(A14),MONTH(A14),1))</f>
        <v/>
      </c>
      <c r="I14" s="185"/>
      <c r="J14" s="144"/>
      <c r="K14" s="159" t="str">
        <f aca="false">IF(C14="","",N(C14)/IF(N14&lt;&gt;"",N14,IF(J14="",1,IFERROR(INDEX(Setup!$C$23:$C$46,MATCH(J14,Setup!$A$23:$A$46,0)),1))))</f>
        <v/>
      </c>
      <c r="L14" s="144"/>
      <c r="M14" s="108"/>
      <c r="N14" s="111"/>
      <c r="O14" s="156" t="str">
        <f aca="false">IF(OR(B14="",L14="Transfer"),"",IF(COUNTIFS($B$5:$B$604,B14,$H$5:$H$604,EDATE(H14,-1),$C$5:$C$604,"&gt;="&amp;C14*0.85,$C$5:$C$604,"&lt;="&amp;C14*1.15)&gt;0,"recurring",""))</f>
        <v/>
      </c>
      <c r="P14" s="157" t="str">
        <f aca="false">IF(B14="","",IF(COUNTIF(B14:$B$604,B14)=1,1,""))</f>
        <v/>
      </c>
      <c r="Q14" s="157" t="str">
        <f aca="false">IF(AND(O14="recurring",P14=1),COUNTIFS($O$5:O14,"recurring",$P$5:P14,1),"")</f>
        <v/>
      </c>
    </row>
    <row r="15" customFormat="false" ht="15" hidden="false" customHeight="false" outlineLevel="0" collapsed="false">
      <c r="A15" s="110"/>
      <c r="B15" s="108"/>
      <c r="C15" s="142"/>
      <c r="D15" s="108"/>
      <c r="E15" s="183" t="str">
        <f aca="false" t="array" ref="E15:E15">IF(B15="","",IFERROR(INDEX(Keywords!$B$5:$B$165,MAX(ISNUMBER(SEARCH(Keywords!$A$5:$A$165,B15))*(Keywords!$A$5:$A$165&lt;&gt;"")*ROW(Keywords!$A$5:$A$165))-4),""))</f>
        <v/>
      </c>
      <c r="F15" s="150" t="str">
        <f aca="false">IF(B15="","",IF(L15="Transfer","Transfer",IF(L15="Income","Income",IF(D15&lt;&gt;"",D15,IF(E15&lt;&gt;"",E15,"Uncategorized")))))</f>
        <v/>
      </c>
      <c r="G15" s="108"/>
      <c r="H15" s="184" t="str">
        <f aca="false">IF(A15="","",DATE(YEAR(A15),MONTH(A15),1))</f>
        <v/>
      </c>
      <c r="I15" s="185"/>
      <c r="J15" s="144"/>
      <c r="K15" s="159" t="str">
        <f aca="false">IF(C15="","",N(C15)/IF(N15&lt;&gt;"",N15,IF(J15="",1,IFERROR(INDEX(Setup!$C$23:$C$46,MATCH(J15,Setup!$A$23:$A$46,0)),1))))</f>
        <v/>
      </c>
      <c r="L15" s="144"/>
      <c r="M15" s="108"/>
      <c r="N15" s="111"/>
      <c r="O15" s="156" t="str">
        <f aca="false">IF(OR(B15="",L15="Transfer"),"",IF(COUNTIFS($B$5:$B$604,B15,$H$5:$H$604,EDATE(H15,-1),$C$5:$C$604,"&gt;="&amp;C15*0.85,$C$5:$C$604,"&lt;="&amp;C15*1.15)&gt;0,"recurring",""))</f>
        <v/>
      </c>
      <c r="P15" s="157" t="str">
        <f aca="false">IF(B15="","",IF(COUNTIF(B15:$B$604,B15)=1,1,""))</f>
        <v/>
      </c>
      <c r="Q15" s="157" t="str">
        <f aca="false">IF(AND(O15="recurring",P15=1),COUNTIFS($O$5:O15,"recurring",$P$5:P15,1),"")</f>
        <v/>
      </c>
    </row>
    <row r="16" customFormat="false" ht="15" hidden="false" customHeight="false" outlineLevel="0" collapsed="false">
      <c r="A16" s="110"/>
      <c r="B16" s="108"/>
      <c r="C16" s="142"/>
      <c r="D16" s="108"/>
      <c r="E16" s="183" t="str">
        <f aca="false" t="array" ref="E16:E16">IF(B16="","",IFERROR(INDEX(Keywords!$B$5:$B$165,MAX(ISNUMBER(SEARCH(Keywords!$A$5:$A$165,B16))*(Keywords!$A$5:$A$165&lt;&gt;"")*ROW(Keywords!$A$5:$A$165))-4),""))</f>
        <v/>
      </c>
      <c r="F16" s="150" t="str">
        <f aca="false">IF(B16="","",IF(L16="Transfer","Transfer",IF(L16="Income","Income",IF(D16&lt;&gt;"",D16,IF(E16&lt;&gt;"",E16,"Uncategorized")))))</f>
        <v/>
      </c>
      <c r="G16" s="108"/>
      <c r="H16" s="184" t="str">
        <f aca="false">IF(A16="","",DATE(YEAR(A16),MONTH(A16),1))</f>
        <v/>
      </c>
      <c r="I16" s="185"/>
      <c r="J16" s="144"/>
      <c r="K16" s="159" t="str">
        <f aca="false">IF(C16="","",N(C16)/IF(N16&lt;&gt;"",N16,IF(J16="",1,IFERROR(INDEX(Setup!$C$23:$C$46,MATCH(J16,Setup!$A$23:$A$46,0)),1))))</f>
        <v/>
      </c>
      <c r="L16" s="144"/>
      <c r="M16" s="108"/>
      <c r="N16" s="111"/>
      <c r="O16" s="156" t="str">
        <f aca="false">IF(OR(B16="",L16="Transfer"),"",IF(COUNTIFS($B$5:$B$604,B16,$H$5:$H$604,EDATE(H16,-1),$C$5:$C$604,"&gt;="&amp;C16*0.85,$C$5:$C$604,"&lt;="&amp;C16*1.15)&gt;0,"recurring",""))</f>
        <v/>
      </c>
      <c r="P16" s="157" t="str">
        <f aca="false">IF(B16="","",IF(COUNTIF(B16:$B$604,B16)=1,1,""))</f>
        <v/>
      </c>
      <c r="Q16" s="157" t="str">
        <f aca="false">IF(AND(O16="recurring",P16=1),COUNTIFS($O$5:O16,"recurring",$P$5:P16,1),"")</f>
        <v/>
      </c>
    </row>
    <row r="17" customFormat="false" ht="15" hidden="false" customHeight="false" outlineLevel="0" collapsed="false">
      <c r="A17" s="110"/>
      <c r="B17" s="108"/>
      <c r="C17" s="142"/>
      <c r="D17" s="108"/>
      <c r="E17" s="183" t="str">
        <f aca="false" t="array" ref="E17:E17">IF(B17="","",IFERROR(INDEX(Keywords!$B$5:$B$165,MAX(ISNUMBER(SEARCH(Keywords!$A$5:$A$165,B17))*(Keywords!$A$5:$A$165&lt;&gt;"")*ROW(Keywords!$A$5:$A$165))-4),""))</f>
        <v/>
      </c>
      <c r="F17" s="150" t="str">
        <f aca="false">IF(B17="","",IF(L17="Transfer","Transfer",IF(L17="Income","Income",IF(D17&lt;&gt;"",D17,IF(E17&lt;&gt;"",E17,"Uncategorized")))))</f>
        <v/>
      </c>
      <c r="G17" s="108"/>
      <c r="H17" s="184" t="str">
        <f aca="false">IF(A17="","",DATE(YEAR(A17),MONTH(A17),1))</f>
        <v/>
      </c>
      <c r="I17" s="185"/>
      <c r="J17" s="144"/>
      <c r="K17" s="159" t="str">
        <f aca="false">IF(C17="","",N(C17)/IF(N17&lt;&gt;"",N17,IF(J17="",1,IFERROR(INDEX(Setup!$C$23:$C$46,MATCH(J17,Setup!$A$23:$A$46,0)),1))))</f>
        <v/>
      </c>
      <c r="L17" s="144"/>
      <c r="M17" s="108"/>
      <c r="N17" s="111"/>
      <c r="O17" s="156" t="str">
        <f aca="false">IF(OR(B17="",L17="Transfer"),"",IF(COUNTIFS($B$5:$B$604,B17,$H$5:$H$604,EDATE(H17,-1),$C$5:$C$604,"&gt;="&amp;C17*0.85,$C$5:$C$604,"&lt;="&amp;C17*1.15)&gt;0,"recurring",""))</f>
        <v/>
      </c>
      <c r="P17" s="157" t="str">
        <f aca="false">IF(B17="","",IF(COUNTIF(B17:$B$604,B17)=1,1,""))</f>
        <v/>
      </c>
      <c r="Q17" s="157" t="str">
        <f aca="false">IF(AND(O17="recurring",P17=1),COUNTIFS($O$5:O17,"recurring",$P$5:P17,1),"")</f>
        <v/>
      </c>
    </row>
    <row r="18" customFormat="false" ht="15" hidden="false" customHeight="false" outlineLevel="0" collapsed="false">
      <c r="A18" s="110"/>
      <c r="B18" s="108"/>
      <c r="C18" s="142"/>
      <c r="D18" s="108"/>
      <c r="E18" s="183" t="str">
        <f aca="false" t="array" ref="E18:E18">IF(B18="","",IFERROR(INDEX(Keywords!$B$5:$B$165,MAX(ISNUMBER(SEARCH(Keywords!$A$5:$A$165,B18))*(Keywords!$A$5:$A$165&lt;&gt;"")*ROW(Keywords!$A$5:$A$165))-4),""))</f>
        <v/>
      </c>
      <c r="F18" s="150" t="str">
        <f aca="false">IF(B18="","",IF(L18="Transfer","Transfer",IF(L18="Income","Income",IF(D18&lt;&gt;"",D18,IF(E18&lt;&gt;"",E18,"Uncategorized")))))</f>
        <v/>
      </c>
      <c r="G18" s="108"/>
      <c r="H18" s="184" t="str">
        <f aca="false">IF(A18="","",DATE(YEAR(A18),MONTH(A18),1))</f>
        <v/>
      </c>
      <c r="I18" s="185"/>
      <c r="J18" s="144"/>
      <c r="K18" s="159" t="str">
        <f aca="false">IF(C18="","",N(C18)/IF(N18&lt;&gt;"",N18,IF(J18="",1,IFERROR(INDEX(Setup!$C$23:$C$46,MATCH(J18,Setup!$A$23:$A$46,0)),1))))</f>
        <v/>
      </c>
      <c r="L18" s="144"/>
      <c r="M18" s="108"/>
      <c r="N18" s="111"/>
      <c r="O18" s="156" t="str">
        <f aca="false">IF(OR(B18="",L18="Transfer"),"",IF(COUNTIFS($B$5:$B$604,B18,$H$5:$H$604,EDATE(H18,-1),$C$5:$C$604,"&gt;="&amp;C18*0.85,$C$5:$C$604,"&lt;="&amp;C18*1.15)&gt;0,"recurring",""))</f>
        <v/>
      </c>
      <c r="P18" s="157" t="str">
        <f aca="false">IF(B18="","",IF(COUNTIF(B18:$B$604,B18)=1,1,""))</f>
        <v/>
      </c>
      <c r="Q18" s="157" t="str">
        <f aca="false">IF(AND(O18="recurring",P18=1),COUNTIFS($O$5:O18,"recurring",$P$5:P18,1),"")</f>
        <v/>
      </c>
    </row>
    <row r="19" customFormat="false" ht="15" hidden="false" customHeight="false" outlineLevel="0" collapsed="false">
      <c r="A19" s="110"/>
      <c r="B19" s="108"/>
      <c r="C19" s="142"/>
      <c r="D19" s="108"/>
      <c r="E19" s="183" t="str">
        <f aca="false" t="array" ref="E19:E19">IF(B19="","",IFERROR(INDEX(Keywords!$B$5:$B$165,MAX(ISNUMBER(SEARCH(Keywords!$A$5:$A$165,B19))*(Keywords!$A$5:$A$165&lt;&gt;"")*ROW(Keywords!$A$5:$A$165))-4),""))</f>
        <v/>
      </c>
      <c r="F19" s="150" t="str">
        <f aca="false">IF(B19="","",IF(L19="Transfer","Transfer",IF(L19="Income","Income",IF(D19&lt;&gt;"",D19,IF(E19&lt;&gt;"",E19,"Uncategorized")))))</f>
        <v/>
      </c>
      <c r="G19" s="108"/>
      <c r="H19" s="184" t="str">
        <f aca="false">IF(A19="","",DATE(YEAR(A19),MONTH(A19),1))</f>
        <v/>
      </c>
      <c r="I19" s="185"/>
      <c r="J19" s="144"/>
      <c r="K19" s="159" t="str">
        <f aca="false">IF(C19="","",N(C19)/IF(N19&lt;&gt;"",N19,IF(J19="",1,IFERROR(INDEX(Setup!$C$23:$C$46,MATCH(J19,Setup!$A$23:$A$46,0)),1))))</f>
        <v/>
      </c>
      <c r="L19" s="144"/>
      <c r="M19" s="108"/>
      <c r="N19" s="111"/>
      <c r="O19" s="156" t="str">
        <f aca="false">IF(OR(B19="",L19="Transfer"),"",IF(COUNTIFS($B$5:$B$604,B19,$H$5:$H$604,EDATE(H19,-1),$C$5:$C$604,"&gt;="&amp;C19*0.85,$C$5:$C$604,"&lt;="&amp;C19*1.15)&gt;0,"recurring",""))</f>
        <v/>
      </c>
      <c r="P19" s="157" t="str">
        <f aca="false">IF(B19="","",IF(COUNTIF(B19:$B$604,B19)=1,1,""))</f>
        <v/>
      </c>
      <c r="Q19" s="157" t="str">
        <f aca="false">IF(AND(O19="recurring",P19=1),COUNTIFS($O$5:O19,"recurring",$P$5:P19,1),"")</f>
        <v/>
      </c>
    </row>
    <row r="20" customFormat="false" ht="15" hidden="false" customHeight="false" outlineLevel="0" collapsed="false">
      <c r="A20" s="110"/>
      <c r="B20" s="108"/>
      <c r="C20" s="142"/>
      <c r="D20" s="108"/>
      <c r="E20" s="183" t="str">
        <f aca="false" t="array" ref="E20:E20">IF(B20="","",IFERROR(INDEX(Keywords!$B$5:$B$165,MAX(ISNUMBER(SEARCH(Keywords!$A$5:$A$165,B20))*(Keywords!$A$5:$A$165&lt;&gt;"")*ROW(Keywords!$A$5:$A$165))-4),""))</f>
        <v/>
      </c>
      <c r="F20" s="150" t="str">
        <f aca="false">IF(B20="","",IF(L20="Transfer","Transfer",IF(L20="Income","Income",IF(D20&lt;&gt;"",D20,IF(E20&lt;&gt;"",E20,"Uncategorized")))))</f>
        <v/>
      </c>
      <c r="G20" s="108"/>
      <c r="H20" s="184" t="str">
        <f aca="false">IF(A20="","",DATE(YEAR(A20),MONTH(A20),1))</f>
        <v/>
      </c>
      <c r="I20" s="185"/>
      <c r="J20" s="144"/>
      <c r="K20" s="159" t="str">
        <f aca="false">IF(C20="","",N(C20)/IF(N20&lt;&gt;"",N20,IF(J20="",1,IFERROR(INDEX(Setup!$C$23:$C$46,MATCH(J20,Setup!$A$23:$A$46,0)),1))))</f>
        <v/>
      </c>
      <c r="L20" s="144"/>
      <c r="M20" s="108"/>
      <c r="N20" s="111"/>
      <c r="O20" s="156" t="str">
        <f aca="false">IF(OR(B20="",L20="Transfer"),"",IF(COUNTIFS($B$5:$B$604,B20,$H$5:$H$604,EDATE(H20,-1),$C$5:$C$604,"&gt;="&amp;C20*0.85,$C$5:$C$604,"&lt;="&amp;C20*1.15)&gt;0,"recurring",""))</f>
        <v/>
      </c>
      <c r="P20" s="157" t="str">
        <f aca="false">IF(B20="","",IF(COUNTIF(B20:$B$604,B20)=1,1,""))</f>
        <v/>
      </c>
      <c r="Q20" s="157" t="str">
        <f aca="false">IF(AND(O20="recurring",P20=1),COUNTIFS($O$5:O20,"recurring",$P$5:P20,1),"")</f>
        <v/>
      </c>
    </row>
    <row r="21" customFormat="false" ht="15" hidden="false" customHeight="false" outlineLevel="0" collapsed="false">
      <c r="A21" s="110"/>
      <c r="B21" s="108"/>
      <c r="C21" s="142"/>
      <c r="D21" s="108"/>
      <c r="E21" s="183" t="str">
        <f aca="false" t="array" ref="E21:E21">IF(B21="","",IFERROR(INDEX(Keywords!$B$5:$B$165,MAX(ISNUMBER(SEARCH(Keywords!$A$5:$A$165,B21))*(Keywords!$A$5:$A$165&lt;&gt;"")*ROW(Keywords!$A$5:$A$165))-4),""))</f>
        <v/>
      </c>
      <c r="F21" s="150" t="str">
        <f aca="false">IF(B21="","",IF(L21="Transfer","Transfer",IF(L21="Income","Income",IF(D21&lt;&gt;"",D21,IF(E21&lt;&gt;"",E21,"Uncategorized")))))</f>
        <v/>
      </c>
      <c r="G21" s="108"/>
      <c r="H21" s="184" t="str">
        <f aca="false">IF(A21="","",DATE(YEAR(A21),MONTH(A21),1))</f>
        <v/>
      </c>
      <c r="I21" s="185"/>
      <c r="J21" s="144"/>
      <c r="K21" s="159" t="str">
        <f aca="false">IF(C21="","",N(C21)/IF(N21&lt;&gt;"",N21,IF(J21="",1,IFERROR(INDEX(Setup!$C$23:$C$46,MATCH(J21,Setup!$A$23:$A$46,0)),1))))</f>
        <v/>
      </c>
      <c r="L21" s="144"/>
      <c r="M21" s="108"/>
      <c r="N21" s="111"/>
      <c r="O21" s="156" t="str">
        <f aca="false">IF(OR(B21="",L21="Transfer"),"",IF(COUNTIFS($B$5:$B$604,B21,$H$5:$H$604,EDATE(H21,-1),$C$5:$C$604,"&gt;="&amp;C21*0.85,$C$5:$C$604,"&lt;="&amp;C21*1.15)&gt;0,"recurring",""))</f>
        <v/>
      </c>
      <c r="P21" s="157" t="str">
        <f aca="false">IF(B21="","",IF(COUNTIF(B21:$B$604,B21)=1,1,""))</f>
        <v/>
      </c>
      <c r="Q21" s="157" t="str">
        <f aca="false">IF(AND(O21="recurring",P21=1),COUNTIFS($O$5:O21,"recurring",$P$5:P21,1),"")</f>
        <v/>
      </c>
    </row>
    <row r="22" customFormat="false" ht="15" hidden="false" customHeight="false" outlineLevel="0" collapsed="false">
      <c r="A22" s="110"/>
      <c r="B22" s="108"/>
      <c r="C22" s="142"/>
      <c r="D22" s="108"/>
      <c r="E22" s="183" t="str">
        <f aca="false" t="array" ref="E22:E22">IF(B22="","",IFERROR(INDEX(Keywords!$B$5:$B$165,MAX(ISNUMBER(SEARCH(Keywords!$A$5:$A$165,B22))*(Keywords!$A$5:$A$165&lt;&gt;"")*ROW(Keywords!$A$5:$A$165))-4),""))</f>
        <v/>
      </c>
      <c r="F22" s="150" t="str">
        <f aca="false">IF(B22="","",IF(L22="Transfer","Transfer",IF(L22="Income","Income",IF(D22&lt;&gt;"",D22,IF(E22&lt;&gt;"",E22,"Uncategorized")))))</f>
        <v/>
      </c>
      <c r="G22" s="108"/>
      <c r="H22" s="184" t="str">
        <f aca="false">IF(A22="","",DATE(YEAR(A22),MONTH(A22),1))</f>
        <v/>
      </c>
      <c r="I22" s="185"/>
      <c r="J22" s="144"/>
      <c r="K22" s="159" t="str">
        <f aca="false">IF(C22="","",N(C22)/IF(N22&lt;&gt;"",N22,IF(J22="",1,IFERROR(INDEX(Setup!$C$23:$C$46,MATCH(J22,Setup!$A$23:$A$46,0)),1))))</f>
        <v/>
      </c>
      <c r="L22" s="144"/>
      <c r="M22" s="108"/>
      <c r="N22" s="111"/>
      <c r="O22" s="156" t="str">
        <f aca="false">IF(OR(B22="",L22="Transfer"),"",IF(COUNTIFS($B$5:$B$604,B22,$H$5:$H$604,EDATE(H22,-1),$C$5:$C$604,"&gt;="&amp;C22*0.85,$C$5:$C$604,"&lt;="&amp;C22*1.15)&gt;0,"recurring",""))</f>
        <v/>
      </c>
      <c r="P22" s="157" t="str">
        <f aca="false">IF(B22="","",IF(COUNTIF(B22:$B$604,B22)=1,1,""))</f>
        <v/>
      </c>
      <c r="Q22" s="157" t="str">
        <f aca="false">IF(AND(O22="recurring",P22=1),COUNTIFS($O$5:O22,"recurring",$P$5:P22,1),"")</f>
        <v/>
      </c>
    </row>
    <row r="23" customFormat="false" ht="15" hidden="false" customHeight="false" outlineLevel="0" collapsed="false">
      <c r="A23" s="110"/>
      <c r="B23" s="108"/>
      <c r="C23" s="142"/>
      <c r="D23" s="108"/>
      <c r="E23" s="183" t="str">
        <f aca="false" t="array" ref="E23:E23">IF(B23="","",IFERROR(INDEX(Keywords!$B$5:$B$165,MAX(ISNUMBER(SEARCH(Keywords!$A$5:$A$165,B23))*(Keywords!$A$5:$A$165&lt;&gt;"")*ROW(Keywords!$A$5:$A$165))-4),""))</f>
        <v/>
      </c>
      <c r="F23" s="150" t="str">
        <f aca="false">IF(B23="","",IF(L23="Transfer","Transfer",IF(L23="Income","Income",IF(D23&lt;&gt;"",D23,IF(E23&lt;&gt;"",E23,"Uncategorized")))))</f>
        <v/>
      </c>
      <c r="G23" s="108"/>
      <c r="H23" s="184" t="str">
        <f aca="false">IF(A23="","",DATE(YEAR(A23),MONTH(A23),1))</f>
        <v/>
      </c>
      <c r="I23" s="185"/>
      <c r="J23" s="144"/>
      <c r="K23" s="159" t="str">
        <f aca="false">IF(C23="","",N(C23)/IF(N23&lt;&gt;"",N23,IF(J23="",1,IFERROR(INDEX(Setup!$C$23:$C$46,MATCH(J23,Setup!$A$23:$A$46,0)),1))))</f>
        <v/>
      </c>
      <c r="L23" s="144"/>
      <c r="M23" s="108"/>
      <c r="N23" s="111"/>
      <c r="O23" s="156" t="str">
        <f aca="false">IF(OR(B23="",L23="Transfer"),"",IF(COUNTIFS($B$5:$B$604,B23,$H$5:$H$604,EDATE(H23,-1),$C$5:$C$604,"&gt;="&amp;C23*0.85,$C$5:$C$604,"&lt;="&amp;C23*1.15)&gt;0,"recurring",""))</f>
        <v/>
      </c>
      <c r="P23" s="157" t="str">
        <f aca="false">IF(B23="","",IF(COUNTIF(B23:$B$604,B23)=1,1,""))</f>
        <v/>
      </c>
      <c r="Q23" s="157" t="str">
        <f aca="false">IF(AND(O23="recurring",P23=1),COUNTIFS($O$5:O23,"recurring",$P$5:P23,1),"")</f>
        <v/>
      </c>
    </row>
    <row r="24" customFormat="false" ht="15" hidden="false" customHeight="false" outlineLevel="0" collapsed="false">
      <c r="A24" s="110"/>
      <c r="B24" s="108"/>
      <c r="C24" s="142"/>
      <c r="D24" s="108"/>
      <c r="E24" s="183" t="str">
        <f aca="false" t="array" ref="E24:E24">IF(B24="","",IFERROR(INDEX(Keywords!$B$5:$B$165,MAX(ISNUMBER(SEARCH(Keywords!$A$5:$A$165,B24))*(Keywords!$A$5:$A$165&lt;&gt;"")*ROW(Keywords!$A$5:$A$165))-4),""))</f>
        <v/>
      </c>
      <c r="F24" s="150" t="str">
        <f aca="false">IF(B24="","",IF(L24="Transfer","Transfer",IF(L24="Income","Income",IF(D24&lt;&gt;"",D24,IF(E24&lt;&gt;"",E24,"Uncategorized")))))</f>
        <v/>
      </c>
      <c r="G24" s="108"/>
      <c r="H24" s="184" t="str">
        <f aca="false">IF(A24="","",DATE(YEAR(A24),MONTH(A24),1))</f>
        <v/>
      </c>
      <c r="I24" s="185"/>
      <c r="J24" s="144"/>
      <c r="K24" s="159" t="str">
        <f aca="false">IF(C24="","",N(C24)/IF(N24&lt;&gt;"",N24,IF(J24="",1,IFERROR(INDEX(Setup!$C$23:$C$46,MATCH(J24,Setup!$A$23:$A$46,0)),1))))</f>
        <v/>
      </c>
      <c r="L24" s="144"/>
      <c r="M24" s="108"/>
      <c r="N24" s="111"/>
      <c r="O24" s="156" t="str">
        <f aca="false">IF(OR(B24="",L24="Transfer"),"",IF(COUNTIFS($B$5:$B$604,B24,$H$5:$H$604,EDATE(H24,-1),$C$5:$C$604,"&gt;="&amp;C24*0.85,$C$5:$C$604,"&lt;="&amp;C24*1.15)&gt;0,"recurring",""))</f>
        <v/>
      </c>
      <c r="P24" s="157" t="str">
        <f aca="false">IF(B24="","",IF(COUNTIF(B24:$B$604,B24)=1,1,""))</f>
        <v/>
      </c>
      <c r="Q24" s="157" t="str">
        <f aca="false">IF(AND(O24="recurring",P24=1),COUNTIFS($O$5:O24,"recurring",$P$5:P24,1),"")</f>
        <v/>
      </c>
    </row>
    <row r="25" customFormat="false" ht="15" hidden="false" customHeight="false" outlineLevel="0" collapsed="false">
      <c r="A25" s="110"/>
      <c r="B25" s="108"/>
      <c r="C25" s="142"/>
      <c r="D25" s="108"/>
      <c r="E25" s="183" t="str">
        <f aca="false" t="array" ref="E25:E25">IF(B25="","",IFERROR(INDEX(Keywords!$B$5:$B$165,MAX(ISNUMBER(SEARCH(Keywords!$A$5:$A$165,B25))*(Keywords!$A$5:$A$165&lt;&gt;"")*ROW(Keywords!$A$5:$A$165))-4),""))</f>
        <v/>
      </c>
      <c r="F25" s="150" t="str">
        <f aca="false">IF(B25="","",IF(L25="Transfer","Transfer",IF(L25="Income","Income",IF(D25&lt;&gt;"",D25,IF(E25&lt;&gt;"",E25,"Uncategorized")))))</f>
        <v/>
      </c>
      <c r="G25" s="108"/>
      <c r="H25" s="184" t="str">
        <f aca="false">IF(A25="","",DATE(YEAR(A25),MONTH(A25),1))</f>
        <v/>
      </c>
      <c r="I25" s="185"/>
      <c r="J25" s="144"/>
      <c r="K25" s="159" t="str">
        <f aca="false">IF(C25="","",N(C25)/IF(N25&lt;&gt;"",N25,IF(J25="",1,IFERROR(INDEX(Setup!$C$23:$C$46,MATCH(J25,Setup!$A$23:$A$46,0)),1))))</f>
        <v/>
      </c>
      <c r="L25" s="144"/>
      <c r="M25" s="108"/>
      <c r="N25" s="111"/>
      <c r="O25" s="156" t="str">
        <f aca="false">IF(OR(B25="",L25="Transfer"),"",IF(COUNTIFS($B$5:$B$604,B25,$H$5:$H$604,EDATE(H25,-1),$C$5:$C$604,"&gt;="&amp;C25*0.85,$C$5:$C$604,"&lt;="&amp;C25*1.15)&gt;0,"recurring",""))</f>
        <v/>
      </c>
      <c r="P25" s="157" t="str">
        <f aca="false">IF(B25="","",IF(COUNTIF(B25:$B$604,B25)=1,1,""))</f>
        <v/>
      </c>
      <c r="Q25" s="157" t="str">
        <f aca="false">IF(AND(O25="recurring",P25=1),COUNTIFS($O$5:O25,"recurring",$P$5:P25,1),"")</f>
        <v/>
      </c>
    </row>
    <row r="26" customFormat="false" ht="15" hidden="false" customHeight="false" outlineLevel="0" collapsed="false">
      <c r="A26" s="110"/>
      <c r="B26" s="108"/>
      <c r="C26" s="142"/>
      <c r="D26" s="108"/>
      <c r="E26" s="183" t="str">
        <f aca="false" t="array" ref="E26:E26">IF(B26="","",IFERROR(INDEX(Keywords!$B$5:$B$165,MAX(ISNUMBER(SEARCH(Keywords!$A$5:$A$165,B26))*(Keywords!$A$5:$A$165&lt;&gt;"")*ROW(Keywords!$A$5:$A$165))-4),""))</f>
        <v/>
      </c>
      <c r="F26" s="150" t="str">
        <f aca="false">IF(B26="","",IF(L26="Transfer","Transfer",IF(L26="Income","Income",IF(D26&lt;&gt;"",D26,IF(E26&lt;&gt;"",E26,"Uncategorized")))))</f>
        <v/>
      </c>
      <c r="G26" s="108"/>
      <c r="H26" s="184" t="str">
        <f aca="false">IF(A26="","",DATE(YEAR(A26),MONTH(A26),1))</f>
        <v/>
      </c>
      <c r="I26" s="185"/>
      <c r="J26" s="144"/>
      <c r="K26" s="159" t="str">
        <f aca="false">IF(C26="","",N(C26)/IF(N26&lt;&gt;"",N26,IF(J26="",1,IFERROR(INDEX(Setup!$C$23:$C$46,MATCH(J26,Setup!$A$23:$A$46,0)),1))))</f>
        <v/>
      </c>
      <c r="L26" s="144"/>
      <c r="M26" s="108"/>
      <c r="N26" s="111"/>
      <c r="O26" s="156" t="str">
        <f aca="false">IF(OR(B26="",L26="Transfer"),"",IF(COUNTIFS($B$5:$B$604,B26,$H$5:$H$604,EDATE(H26,-1),$C$5:$C$604,"&gt;="&amp;C26*0.85,$C$5:$C$604,"&lt;="&amp;C26*1.15)&gt;0,"recurring",""))</f>
        <v/>
      </c>
      <c r="P26" s="157" t="str">
        <f aca="false">IF(B26="","",IF(COUNTIF(B26:$B$604,B26)=1,1,""))</f>
        <v/>
      </c>
      <c r="Q26" s="157" t="str">
        <f aca="false">IF(AND(O26="recurring",P26=1),COUNTIFS($O$5:O26,"recurring",$P$5:P26,1),"")</f>
        <v/>
      </c>
    </row>
    <row r="27" customFormat="false" ht="15" hidden="false" customHeight="false" outlineLevel="0" collapsed="false">
      <c r="A27" s="110"/>
      <c r="B27" s="108"/>
      <c r="C27" s="142"/>
      <c r="D27" s="108"/>
      <c r="E27" s="183" t="str">
        <f aca="false" t="array" ref="E27:E27">IF(B27="","",IFERROR(INDEX(Keywords!$B$5:$B$165,MAX(ISNUMBER(SEARCH(Keywords!$A$5:$A$165,B27))*(Keywords!$A$5:$A$165&lt;&gt;"")*ROW(Keywords!$A$5:$A$165))-4),""))</f>
        <v/>
      </c>
      <c r="F27" s="150" t="str">
        <f aca="false">IF(B27="","",IF(L27="Transfer","Transfer",IF(L27="Income","Income",IF(D27&lt;&gt;"",D27,IF(E27&lt;&gt;"",E27,"Uncategorized")))))</f>
        <v/>
      </c>
      <c r="G27" s="108"/>
      <c r="H27" s="184" t="str">
        <f aca="false">IF(A27="","",DATE(YEAR(A27),MONTH(A27),1))</f>
        <v/>
      </c>
      <c r="I27" s="185"/>
      <c r="J27" s="144"/>
      <c r="K27" s="159" t="str">
        <f aca="false">IF(C27="","",N(C27)/IF(N27&lt;&gt;"",N27,IF(J27="",1,IFERROR(INDEX(Setup!$C$23:$C$46,MATCH(J27,Setup!$A$23:$A$46,0)),1))))</f>
        <v/>
      </c>
      <c r="L27" s="144"/>
      <c r="M27" s="108"/>
      <c r="N27" s="111"/>
      <c r="O27" s="156" t="str">
        <f aca="false">IF(OR(B27="",L27="Transfer"),"",IF(COUNTIFS($B$5:$B$604,B27,$H$5:$H$604,EDATE(H27,-1),$C$5:$C$604,"&gt;="&amp;C27*0.85,$C$5:$C$604,"&lt;="&amp;C27*1.15)&gt;0,"recurring",""))</f>
        <v/>
      </c>
      <c r="P27" s="157" t="str">
        <f aca="false">IF(B27="","",IF(COUNTIF(B27:$B$604,B27)=1,1,""))</f>
        <v/>
      </c>
      <c r="Q27" s="157" t="str">
        <f aca="false">IF(AND(O27="recurring",P27=1),COUNTIFS($O$5:O27,"recurring",$P$5:P27,1),"")</f>
        <v/>
      </c>
    </row>
    <row r="28" customFormat="false" ht="15" hidden="false" customHeight="false" outlineLevel="0" collapsed="false">
      <c r="A28" s="110"/>
      <c r="B28" s="108"/>
      <c r="C28" s="142"/>
      <c r="D28" s="108"/>
      <c r="E28" s="183" t="str">
        <f aca="false" t="array" ref="E28:E28">IF(B28="","",IFERROR(INDEX(Keywords!$B$5:$B$165,MAX(ISNUMBER(SEARCH(Keywords!$A$5:$A$165,B28))*(Keywords!$A$5:$A$165&lt;&gt;"")*ROW(Keywords!$A$5:$A$165))-4),""))</f>
        <v/>
      </c>
      <c r="F28" s="150" t="str">
        <f aca="false">IF(B28="","",IF(L28="Transfer","Transfer",IF(L28="Income","Income",IF(D28&lt;&gt;"",D28,IF(E28&lt;&gt;"",E28,"Uncategorized")))))</f>
        <v/>
      </c>
      <c r="G28" s="108"/>
      <c r="H28" s="184" t="str">
        <f aca="false">IF(A28="","",DATE(YEAR(A28),MONTH(A28),1))</f>
        <v/>
      </c>
      <c r="I28" s="185"/>
      <c r="J28" s="144"/>
      <c r="K28" s="159" t="str">
        <f aca="false">IF(C28="","",N(C28)/IF(N28&lt;&gt;"",N28,IF(J28="",1,IFERROR(INDEX(Setup!$C$23:$C$46,MATCH(J28,Setup!$A$23:$A$46,0)),1))))</f>
        <v/>
      </c>
      <c r="L28" s="144"/>
      <c r="M28" s="108"/>
      <c r="N28" s="111"/>
      <c r="O28" s="156" t="str">
        <f aca="false">IF(OR(B28="",L28="Transfer"),"",IF(COUNTIFS($B$5:$B$604,B28,$H$5:$H$604,EDATE(H28,-1),$C$5:$C$604,"&gt;="&amp;C28*0.85,$C$5:$C$604,"&lt;="&amp;C28*1.15)&gt;0,"recurring",""))</f>
        <v/>
      </c>
      <c r="P28" s="157" t="str">
        <f aca="false">IF(B28="","",IF(COUNTIF(B28:$B$604,B28)=1,1,""))</f>
        <v/>
      </c>
      <c r="Q28" s="157" t="str">
        <f aca="false">IF(AND(O28="recurring",P28=1),COUNTIFS($O$5:O28,"recurring",$P$5:P28,1),"")</f>
        <v/>
      </c>
    </row>
    <row r="29" customFormat="false" ht="15" hidden="false" customHeight="false" outlineLevel="0" collapsed="false">
      <c r="A29" s="110"/>
      <c r="B29" s="108"/>
      <c r="C29" s="142"/>
      <c r="D29" s="108"/>
      <c r="E29" s="183" t="str">
        <f aca="false" t="array" ref="E29:E29">IF(B29="","",IFERROR(INDEX(Keywords!$B$5:$B$165,MAX(ISNUMBER(SEARCH(Keywords!$A$5:$A$165,B29))*(Keywords!$A$5:$A$165&lt;&gt;"")*ROW(Keywords!$A$5:$A$165))-4),""))</f>
        <v/>
      </c>
      <c r="F29" s="150" t="str">
        <f aca="false">IF(B29="","",IF(L29="Transfer","Transfer",IF(L29="Income","Income",IF(D29&lt;&gt;"",D29,IF(E29&lt;&gt;"",E29,"Uncategorized")))))</f>
        <v/>
      </c>
      <c r="G29" s="108"/>
      <c r="H29" s="184" t="str">
        <f aca="false">IF(A29="","",DATE(YEAR(A29),MONTH(A29),1))</f>
        <v/>
      </c>
      <c r="I29" s="185"/>
      <c r="J29" s="144"/>
      <c r="K29" s="159" t="str">
        <f aca="false">IF(C29="","",N(C29)/IF(N29&lt;&gt;"",N29,IF(J29="",1,IFERROR(INDEX(Setup!$C$23:$C$46,MATCH(J29,Setup!$A$23:$A$46,0)),1))))</f>
        <v/>
      </c>
      <c r="L29" s="144"/>
      <c r="M29" s="108"/>
      <c r="N29" s="111"/>
      <c r="O29" s="156" t="str">
        <f aca="false">IF(OR(B29="",L29="Transfer"),"",IF(COUNTIFS($B$5:$B$604,B29,$H$5:$H$604,EDATE(H29,-1),$C$5:$C$604,"&gt;="&amp;C29*0.85,$C$5:$C$604,"&lt;="&amp;C29*1.15)&gt;0,"recurring",""))</f>
        <v/>
      </c>
      <c r="P29" s="157" t="str">
        <f aca="false">IF(B29="","",IF(COUNTIF(B29:$B$604,B29)=1,1,""))</f>
        <v/>
      </c>
      <c r="Q29" s="157" t="str">
        <f aca="false">IF(AND(O29="recurring",P29=1),COUNTIFS($O$5:O29,"recurring",$P$5:P29,1),"")</f>
        <v/>
      </c>
    </row>
    <row r="30" customFormat="false" ht="15" hidden="false" customHeight="false" outlineLevel="0" collapsed="false">
      <c r="A30" s="110"/>
      <c r="B30" s="108"/>
      <c r="C30" s="142"/>
      <c r="D30" s="108"/>
      <c r="E30" s="183" t="str">
        <f aca="false" t="array" ref="E30:E30">IF(B30="","",IFERROR(INDEX(Keywords!$B$5:$B$165,MAX(ISNUMBER(SEARCH(Keywords!$A$5:$A$165,B30))*(Keywords!$A$5:$A$165&lt;&gt;"")*ROW(Keywords!$A$5:$A$165))-4),""))</f>
        <v/>
      </c>
      <c r="F30" s="150" t="str">
        <f aca="false">IF(B30="","",IF(L30="Transfer","Transfer",IF(L30="Income","Income",IF(D30&lt;&gt;"",D30,IF(E30&lt;&gt;"",E30,"Uncategorized")))))</f>
        <v/>
      </c>
      <c r="G30" s="108"/>
      <c r="H30" s="184" t="str">
        <f aca="false">IF(A30="","",DATE(YEAR(A30),MONTH(A30),1))</f>
        <v/>
      </c>
      <c r="I30" s="185"/>
      <c r="J30" s="144"/>
      <c r="K30" s="159" t="str">
        <f aca="false">IF(C30="","",N(C30)/IF(N30&lt;&gt;"",N30,IF(J30="",1,IFERROR(INDEX(Setup!$C$23:$C$46,MATCH(J30,Setup!$A$23:$A$46,0)),1))))</f>
        <v/>
      </c>
      <c r="L30" s="144"/>
      <c r="M30" s="108"/>
      <c r="N30" s="111"/>
      <c r="O30" s="156" t="str">
        <f aca="false">IF(OR(B30="",L30="Transfer"),"",IF(COUNTIFS($B$5:$B$604,B30,$H$5:$H$604,EDATE(H30,-1),$C$5:$C$604,"&gt;="&amp;C30*0.85,$C$5:$C$604,"&lt;="&amp;C30*1.15)&gt;0,"recurring",""))</f>
        <v/>
      </c>
      <c r="P30" s="157" t="str">
        <f aca="false">IF(B30="","",IF(COUNTIF(B30:$B$604,B30)=1,1,""))</f>
        <v/>
      </c>
      <c r="Q30" s="157" t="str">
        <f aca="false">IF(AND(O30="recurring",P30=1),COUNTIFS($O$5:O30,"recurring",$P$5:P30,1),"")</f>
        <v/>
      </c>
    </row>
    <row r="31" customFormat="false" ht="15" hidden="false" customHeight="false" outlineLevel="0" collapsed="false">
      <c r="A31" s="110"/>
      <c r="B31" s="108"/>
      <c r="C31" s="142"/>
      <c r="D31" s="108"/>
      <c r="E31" s="183" t="str">
        <f aca="false" t="array" ref="E31:E31">IF(B31="","",IFERROR(INDEX(Keywords!$B$5:$B$165,MAX(ISNUMBER(SEARCH(Keywords!$A$5:$A$165,B31))*(Keywords!$A$5:$A$165&lt;&gt;"")*ROW(Keywords!$A$5:$A$165))-4),""))</f>
        <v/>
      </c>
      <c r="F31" s="150" t="str">
        <f aca="false">IF(B31="","",IF(L31="Transfer","Transfer",IF(L31="Income","Income",IF(D31&lt;&gt;"",D31,IF(E31&lt;&gt;"",E31,"Uncategorized")))))</f>
        <v/>
      </c>
      <c r="G31" s="108"/>
      <c r="H31" s="184" t="str">
        <f aca="false">IF(A31="","",DATE(YEAR(A31),MONTH(A31),1))</f>
        <v/>
      </c>
      <c r="I31" s="185"/>
      <c r="J31" s="144"/>
      <c r="K31" s="159" t="str">
        <f aca="false">IF(C31="","",N(C31)/IF(N31&lt;&gt;"",N31,IF(J31="",1,IFERROR(INDEX(Setup!$C$23:$C$46,MATCH(J31,Setup!$A$23:$A$46,0)),1))))</f>
        <v/>
      </c>
      <c r="L31" s="144"/>
      <c r="M31" s="108"/>
      <c r="N31" s="111"/>
      <c r="O31" s="156" t="str">
        <f aca="false">IF(OR(B31="",L31="Transfer"),"",IF(COUNTIFS($B$5:$B$604,B31,$H$5:$H$604,EDATE(H31,-1),$C$5:$C$604,"&gt;="&amp;C31*0.85,$C$5:$C$604,"&lt;="&amp;C31*1.15)&gt;0,"recurring",""))</f>
        <v/>
      </c>
      <c r="P31" s="157" t="str">
        <f aca="false">IF(B31="","",IF(COUNTIF(B31:$B$604,B31)=1,1,""))</f>
        <v/>
      </c>
      <c r="Q31" s="157" t="str">
        <f aca="false">IF(AND(O31="recurring",P31=1),COUNTIFS($O$5:O31,"recurring",$P$5:P31,1),"")</f>
        <v/>
      </c>
    </row>
    <row r="32" customFormat="false" ht="15" hidden="false" customHeight="false" outlineLevel="0" collapsed="false">
      <c r="A32" s="110"/>
      <c r="B32" s="108"/>
      <c r="C32" s="142"/>
      <c r="D32" s="108"/>
      <c r="E32" s="183" t="str">
        <f aca="false" t="array" ref="E32:E32">IF(B32="","",IFERROR(INDEX(Keywords!$B$5:$B$165,MAX(ISNUMBER(SEARCH(Keywords!$A$5:$A$165,B32))*(Keywords!$A$5:$A$165&lt;&gt;"")*ROW(Keywords!$A$5:$A$165))-4),""))</f>
        <v/>
      </c>
      <c r="F32" s="150" t="str">
        <f aca="false">IF(B32="","",IF(L32="Transfer","Transfer",IF(L32="Income","Income",IF(D32&lt;&gt;"",D32,IF(E32&lt;&gt;"",E32,"Uncategorized")))))</f>
        <v/>
      </c>
      <c r="G32" s="108"/>
      <c r="H32" s="184" t="str">
        <f aca="false">IF(A32="","",DATE(YEAR(A32),MONTH(A32),1))</f>
        <v/>
      </c>
      <c r="I32" s="185"/>
      <c r="J32" s="144"/>
      <c r="K32" s="159" t="str">
        <f aca="false">IF(C32="","",N(C32)/IF(N32&lt;&gt;"",N32,IF(J32="",1,IFERROR(INDEX(Setup!$C$23:$C$46,MATCH(J32,Setup!$A$23:$A$46,0)),1))))</f>
        <v/>
      </c>
      <c r="L32" s="144"/>
      <c r="M32" s="108"/>
      <c r="N32" s="111"/>
      <c r="O32" s="156" t="str">
        <f aca="false">IF(OR(B32="",L32="Transfer"),"",IF(COUNTIFS($B$5:$B$604,B32,$H$5:$H$604,EDATE(H32,-1),$C$5:$C$604,"&gt;="&amp;C32*0.85,$C$5:$C$604,"&lt;="&amp;C32*1.15)&gt;0,"recurring",""))</f>
        <v/>
      </c>
      <c r="P32" s="157" t="str">
        <f aca="false">IF(B32="","",IF(COUNTIF(B32:$B$604,B32)=1,1,""))</f>
        <v/>
      </c>
      <c r="Q32" s="157" t="str">
        <f aca="false">IF(AND(O32="recurring",P32=1),COUNTIFS($O$5:O32,"recurring",$P$5:P32,1),"")</f>
        <v/>
      </c>
    </row>
    <row r="33" customFormat="false" ht="15" hidden="false" customHeight="false" outlineLevel="0" collapsed="false">
      <c r="A33" s="110"/>
      <c r="B33" s="108"/>
      <c r="C33" s="142"/>
      <c r="D33" s="108"/>
      <c r="E33" s="183" t="str">
        <f aca="false" t="array" ref="E33:E33">IF(B33="","",IFERROR(INDEX(Keywords!$B$5:$B$165,MAX(ISNUMBER(SEARCH(Keywords!$A$5:$A$165,B33))*(Keywords!$A$5:$A$165&lt;&gt;"")*ROW(Keywords!$A$5:$A$165))-4),""))</f>
        <v/>
      </c>
      <c r="F33" s="150" t="str">
        <f aca="false">IF(B33="","",IF(L33="Transfer","Transfer",IF(L33="Income","Income",IF(D33&lt;&gt;"",D33,IF(E33&lt;&gt;"",E33,"Uncategorized")))))</f>
        <v/>
      </c>
      <c r="G33" s="108"/>
      <c r="H33" s="184" t="str">
        <f aca="false">IF(A33="","",DATE(YEAR(A33),MONTH(A33),1))</f>
        <v/>
      </c>
      <c r="I33" s="185"/>
      <c r="J33" s="144"/>
      <c r="K33" s="159" t="str">
        <f aca="false">IF(C33="","",N(C33)/IF(N33&lt;&gt;"",N33,IF(J33="",1,IFERROR(INDEX(Setup!$C$23:$C$46,MATCH(J33,Setup!$A$23:$A$46,0)),1))))</f>
        <v/>
      </c>
      <c r="L33" s="144"/>
      <c r="M33" s="108"/>
      <c r="N33" s="111"/>
      <c r="O33" s="156" t="str">
        <f aca="false">IF(OR(B33="",L33="Transfer"),"",IF(COUNTIFS($B$5:$B$604,B33,$H$5:$H$604,EDATE(H33,-1),$C$5:$C$604,"&gt;="&amp;C33*0.85,$C$5:$C$604,"&lt;="&amp;C33*1.15)&gt;0,"recurring",""))</f>
        <v/>
      </c>
      <c r="P33" s="157" t="str">
        <f aca="false">IF(B33="","",IF(COUNTIF(B33:$B$604,B33)=1,1,""))</f>
        <v/>
      </c>
      <c r="Q33" s="157" t="str">
        <f aca="false">IF(AND(O33="recurring",P33=1),COUNTIFS($O$5:O33,"recurring",$P$5:P33,1),"")</f>
        <v/>
      </c>
    </row>
    <row r="34" customFormat="false" ht="15" hidden="false" customHeight="false" outlineLevel="0" collapsed="false">
      <c r="A34" s="110"/>
      <c r="B34" s="108"/>
      <c r="C34" s="142"/>
      <c r="D34" s="108"/>
      <c r="E34" s="183" t="str">
        <f aca="false" t="array" ref="E34:E34">IF(B34="","",IFERROR(INDEX(Keywords!$B$5:$B$165,MAX(ISNUMBER(SEARCH(Keywords!$A$5:$A$165,B34))*(Keywords!$A$5:$A$165&lt;&gt;"")*ROW(Keywords!$A$5:$A$165))-4),""))</f>
        <v/>
      </c>
      <c r="F34" s="150" t="str">
        <f aca="false">IF(B34="","",IF(L34="Transfer","Transfer",IF(L34="Income","Income",IF(D34&lt;&gt;"",D34,IF(E34&lt;&gt;"",E34,"Uncategorized")))))</f>
        <v/>
      </c>
      <c r="G34" s="108"/>
      <c r="H34" s="184" t="str">
        <f aca="false">IF(A34="","",DATE(YEAR(A34),MONTH(A34),1))</f>
        <v/>
      </c>
      <c r="I34" s="185"/>
      <c r="J34" s="144"/>
      <c r="K34" s="159" t="str">
        <f aca="false">IF(C34="","",N(C34)/IF(N34&lt;&gt;"",N34,IF(J34="",1,IFERROR(INDEX(Setup!$C$23:$C$46,MATCH(J34,Setup!$A$23:$A$46,0)),1))))</f>
        <v/>
      </c>
      <c r="L34" s="144"/>
      <c r="M34" s="108"/>
      <c r="N34" s="111"/>
      <c r="O34" s="156" t="str">
        <f aca="false">IF(OR(B34="",L34="Transfer"),"",IF(COUNTIFS($B$5:$B$604,B34,$H$5:$H$604,EDATE(H34,-1),$C$5:$C$604,"&gt;="&amp;C34*0.85,$C$5:$C$604,"&lt;="&amp;C34*1.15)&gt;0,"recurring",""))</f>
        <v/>
      </c>
      <c r="P34" s="157" t="str">
        <f aca="false">IF(B34="","",IF(COUNTIF(B34:$B$604,B34)=1,1,""))</f>
        <v/>
      </c>
      <c r="Q34" s="157" t="str">
        <f aca="false">IF(AND(O34="recurring",P34=1),COUNTIFS($O$5:O34,"recurring",$P$5:P34,1),"")</f>
        <v/>
      </c>
    </row>
    <row r="35" customFormat="false" ht="15" hidden="false" customHeight="false" outlineLevel="0" collapsed="false">
      <c r="A35" s="110"/>
      <c r="B35" s="108"/>
      <c r="C35" s="142"/>
      <c r="D35" s="108"/>
      <c r="E35" s="183" t="str">
        <f aca="false" t="array" ref="E35:E35">IF(B35="","",IFERROR(INDEX(Keywords!$B$5:$B$165,MAX(ISNUMBER(SEARCH(Keywords!$A$5:$A$165,B35))*(Keywords!$A$5:$A$165&lt;&gt;"")*ROW(Keywords!$A$5:$A$165))-4),""))</f>
        <v/>
      </c>
      <c r="F35" s="150" t="str">
        <f aca="false">IF(B35="","",IF(L35="Transfer","Transfer",IF(L35="Income","Income",IF(D35&lt;&gt;"",D35,IF(E35&lt;&gt;"",E35,"Uncategorized")))))</f>
        <v/>
      </c>
      <c r="G35" s="108"/>
      <c r="H35" s="184" t="str">
        <f aca="false">IF(A35="","",DATE(YEAR(A35),MONTH(A35),1))</f>
        <v/>
      </c>
      <c r="I35" s="185"/>
      <c r="J35" s="144"/>
      <c r="K35" s="159" t="str">
        <f aca="false">IF(C35="","",N(C35)/IF(N35&lt;&gt;"",N35,IF(J35="",1,IFERROR(INDEX(Setup!$C$23:$C$46,MATCH(J35,Setup!$A$23:$A$46,0)),1))))</f>
        <v/>
      </c>
      <c r="L35" s="144"/>
      <c r="M35" s="108"/>
      <c r="N35" s="111"/>
      <c r="O35" s="156" t="str">
        <f aca="false">IF(OR(B35="",L35="Transfer"),"",IF(COUNTIFS($B$5:$B$604,B35,$H$5:$H$604,EDATE(H35,-1),$C$5:$C$604,"&gt;="&amp;C35*0.85,$C$5:$C$604,"&lt;="&amp;C35*1.15)&gt;0,"recurring",""))</f>
        <v/>
      </c>
      <c r="P35" s="157" t="str">
        <f aca="false">IF(B35="","",IF(COUNTIF(B35:$B$604,B35)=1,1,""))</f>
        <v/>
      </c>
      <c r="Q35" s="157" t="str">
        <f aca="false">IF(AND(O35="recurring",P35=1),COUNTIFS($O$5:O35,"recurring",$P$5:P35,1),"")</f>
        <v/>
      </c>
    </row>
    <row r="36" customFormat="false" ht="15" hidden="false" customHeight="false" outlineLevel="0" collapsed="false">
      <c r="A36" s="110"/>
      <c r="B36" s="108"/>
      <c r="C36" s="142"/>
      <c r="D36" s="108"/>
      <c r="E36" s="183" t="str">
        <f aca="false" t="array" ref="E36:E36">IF(B36="","",IFERROR(INDEX(Keywords!$B$5:$B$165,MAX(ISNUMBER(SEARCH(Keywords!$A$5:$A$165,B36))*(Keywords!$A$5:$A$165&lt;&gt;"")*ROW(Keywords!$A$5:$A$165))-4),""))</f>
        <v/>
      </c>
      <c r="F36" s="150" t="str">
        <f aca="false">IF(B36="","",IF(L36="Transfer","Transfer",IF(L36="Income","Income",IF(D36&lt;&gt;"",D36,IF(E36&lt;&gt;"",E36,"Uncategorized")))))</f>
        <v/>
      </c>
      <c r="G36" s="108"/>
      <c r="H36" s="184" t="str">
        <f aca="false">IF(A36="","",DATE(YEAR(A36),MONTH(A36),1))</f>
        <v/>
      </c>
      <c r="I36" s="185"/>
      <c r="J36" s="144"/>
      <c r="K36" s="159" t="str">
        <f aca="false">IF(C36="","",N(C36)/IF(N36&lt;&gt;"",N36,IF(J36="",1,IFERROR(INDEX(Setup!$C$23:$C$46,MATCH(J36,Setup!$A$23:$A$46,0)),1))))</f>
        <v/>
      </c>
      <c r="L36" s="144"/>
      <c r="M36" s="108"/>
      <c r="N36" s="111"/>
      <c r="O36" s="156" t="str">
        <f aca="false">IF(OR(B36="",L36="Transfer"),"",IF(COUNTIFS($B$5:$B$604,B36,$H$5:$H$604,EDATE(H36,-1),$C$5:$C$604,"&gt;="&amp;C36*0.85,$C$5:$C$604,"&lt;="&amp;C36*1.15)&gt;0,"recurring",""))</f>
        <v/>
      </c>
      <c r="P36" s="157" t="str">
        <f aca="false">IF(B36="","",IF(COUNTIF(B36:$B$604,B36)=1,1,""))</f>
        <v/>
      </c>
      <c r="Q36" s="157" t="str">
        <f aca="false">IF(AND(O36="recurring",P36=1),COUNTIFS($O$5:O36,"recurring",$P$5:P36,1),"")</f>
        <v/>
      </c>
    </row>
    <row r="37" customFormat="false" ht="15" hidden="false" customHeight="false" outlineLevel="0" collapsed="false">
      <c r="A37" s="110"/>
      <c r="B37" s="108"/>
      <c r="C37" s="142"/>
      <c r="D37" s="108"/>
      <c r="E37" s="183" t="str">
        <f aca="false" t="array" ref="E37:E37">IF(B37="","",IFERROR(INDEX(Keywords!$B$5:$B$165,MAX(ISNUMBER(SEARCH(Keywords!$A$5:$A$165,B37))*(Keywords!$A$5:$A$165&lt;&gt;"")*ROW(Keywords!$A$5:$A$165))-4),""))</f>
        <v/>
      </c>
      <c r="F37" s="150" t="str">
        <f aca="false">IF(B37="","",IF(L37="Transfer","Transfer",IF(L37="Income","Income",IF(D37&lt;&gt;"",D37,IF(E37&lt;&gt;"",E37,"Uncategorized")))))</f>
        <v/>
      </c>
      <c r="G37" s="108"/>
      <c r="H37" s="184" t="str">
        <f aca="false">IF(A37="","",DATE(YEAR(A37),MONTH(A37),1))</f>
        <v/>
      </c>
      <c r="I37" s="185"/>
      <c r="J37" s="144"/>
      <c r="K37" s="159" t="str">
        <f aca="false">IF(C37="","",N(C37)/IF(N37&lt;&gt;"",N37,IF(J37="",1,IFERROR(INDEX(Setup!$C$23:$C$46,MATCH(J37,Setup!$A$23:$A$46,0)),1))))</f>
        <v/>
      </c>
      <c r="L37" s="144"/>
      <c r="M37" s="108"/>
      <c r="N37" s="111"/>
      <c r="O37" s="156" t="str">
        <f aca="false">IF(OR(B37="",L37="Transfer"),"",IF(COUNTIFS($B$5:$B$604,B37,$H$5:$H$604,EDATE(H37,-1),$C$5:$C$604,"&gt;="&amp;C37*0.85,$C$5:$C$604,"&lt;="&amp;C37*1.15)&gt;0,"recurring",""))</f>
        <v/>
      </c>
      <c r="P37" s="157" t="str">
        <f aca="false">IF(B37="","",IF(COUNTIF(B37:$B$604,B37)=1,1,""))</f>
        <v/>
      </c>
      <c r="Q37" s="157" t="str">
        <f aca="false">IF(AND(O37="recurring",P37=1),COUNTIFS($O$5:O37,"recurring",$P$5:P37,1),"")</f>
        <v/>
      </c>
    </row>
    <row r="38" customFormat="false" ht="15" hidden="false" customHeight="false" outlineLevel="0" collapsed="false">
      <c r="A38" s="110"/>
      <c r="B38" s="108"/>
      <c r="C38" s="142"/>
      <c r="D38" s="108"/>
      <c r="E38" s="183" t="str">
        <f aca="false" t="array" ref="E38:E38">IF(B38="","",IFERROR(INDEX(Keywords!$B$5:$B$165,MAX(ISNUMBER(SEARCH(Keywords!$A$5:$A$165,B38))*(Keywords!$A$5:$A$165&lt;&gt;"")*ROW(Keywords!$A$5:$A$165))-4),""))</f>
        <v/>
      </c>
      <c r="F38" s="150" t="str">
        <f aca="false">IF(B38="","",IF(L38="Transfer","Transfer",IF(L38="Income","Income",IF(D38&lt;&gt;"",D38,IF(E38&lt;&gt;"",E38,"Uncategorized")))))</f>
        <v/>
      </c>
      <c r="G38" s="108"/>
      <c r="H38" s="184" t="str">
        <f aca="false">IF(A38="","",DATE(YEAR(A38),MONTH(A38),1))</f>
        <v/>
      </c>
      <c r="I38" s="185"/>
      <c r="J38" s="144"/>
      <c r="K38" s="159" t="str">
        <f aca="false">IF(C38="","",N(C38)/IF(N38&lt;&gt;"",N38,IF(J38="",1,IFERROR(INDEX(Setup!$C$23:$C$46,MATCH(J38,Setup!$A$23:$A$46,0)),1))))</f>
        <v/>
      </c>
      <c r="L38" s="144"/>
      <c r="M38" s="108"/>
      <c r="N38" s="111"/>
      <c r="O38" s="156" t="str">
        <f aca="false">IF(OR(B38="",L38="Transfer"),"",IF(COUNTIFS($B$5:$B$604,B38,$H$5:$H$604,EDATE(H38,-1),$C$5:$C$604,"&gt;="&amp;C38*0.85,$C$5:$C$604,"&lt;="&amp;C38*1.15)&gt;0,"recurring",""))</f>
        <v/>
      </c>
      <c r="P38" s="157" t="str">
        <f aca="false">IF(B38="","",IF(COUNTIF(B38:$B$604,B38)=1,1,""))</f>
        <v/>
      </c>
      <c r="Q38" s="157" t="str">
        <f aca="false">IF(AND(O38="recurring",P38=1),COUNTIFS($O$5:O38,"recurring",$P$5:P38,1),"")</f>
        <v/>
      </c>
    </row>
    <row r="39" customFormat="false" ht="15" hidden="false" customHeight="false" outlineLevel="0" collapsed="false">
      <c r="A39" s="110"/>
      <c r="B39" s="108"/>
      <c r="C39" s="142"/>
      <c r="D39" s="108"/>
      <c r="E39" s="183" t="str">
        <f aca="false" t="array" ref="E39:E39">IF(B39="","",IFERROR(INDEX(Keywords!$B$5:$B$165,MAX(ISNUMBER(SEARCH(Keywords!$A$5:$A$165,B39))*(Keywords!$A$5:$A$165&lt;&gt;"")*ROW(Keywords!$A$5:$A$165))-4),""))</f>
        <v/>
      </c>
      <c r="F39" s="150" t="str">
        <f aca="false">IF(B39="","",IF(L39="Transfer","Transfer",IF(L39="Income","Income",IF(D39&lt;&gt;"",D39,IF(E39&lt;&gt;"",E39,"Uncategorized")))))</f>
        <v/>
      </c>
      <c r="G39" s="108"/>
      <c r="H39" s="184" t="str">
        <f aca="false">IF(A39="","",DATE(YEAR(A39),MONTH(A39),1))</f>
        <v/>
      </c>
      <c r="I39" s="185"/>
      <c r="J39" s="144"/>
      <c r="K39" s="159" t="str">
        <f aca="false">IF(C39="","",N(C39)/IF(N39&lt;&gt;"",N39,IF(J39="",1,IFERROR(INDEX(Setup!$C$23:$C$46,MATCH(J39,Setup!$A$23:$A$46,0)),1))))</f>
        <v/>
      </c>
      <c r="L39" s="144"/>
      <c r="M39" s="108"/>
      <c r="N39" s="111"/>
      <c r="O39" s="156" t="str">
        <f aca="false">IF(OR(B39="",L39="Transfer"),"",IF(COUNTIFS($B$5:$B$604,B39,$H$5:$H$604,EDATE(H39,-1),$C$5:$C$604,"&gt;="&amp;C39*0.85,$C$5:$C$604,"&lt;="&amp;C39*1.15)&gt;0,"recurring",""))</f>
        <v/>
      </c>
      <c r="P39" s="157" t="str">
        <f aca="false">IF(B39="","",IF(COUNTIF(B39:$B$604,B39)=1,1,""))</f>
        <v/>
      </c>
      <c r="Q39" s="157" t="str">
        <f aca="false">IF(AND(O39="recurring",P39=1),COUNTIFS($O$5:O39,"recurring",$P$5:P39,1),"")</f>
        <v/>
      </c>
    </row>
    <row r="40" customFormat="false" ht="15" hidden="false" customHeight="false" outlineLevel="0" collapsed="false">
      <c r="A40" s="110"/>
      <c r="B40" s="108"/>
      <c r="C40" s="142"/>
      <c r="D40" s="108"/>
      <c r="E40" s="183" t="str">
        <f aca="false" t="array" ref="E40:E40">IF(B40="","",IFERROR(INDEX(Keywords!$B$5:$B$165,MAX(ISNUMBER(SEARCH(Keywords!$A$5:$A$165,B40))*(Keywords!$A$5:$A$165&lt;&gt;"")*ROW(Keywords!$A$5:$A$165))-4),""))</f>
        <v/>
      </c>
      <c r="F40" s="150" t="str">
        <f aca="false">IF(B40="","",IF(L40="Transfer","Transfer",IF(L40="Income","Income",IF(D40&lt;&gt;"",D40,IF(E40&lt;&gt;"",E40,"Uncategorized")))))</f>
        <v/>
      </c>
      <c r="G40" s="108"/>
      <c r="H40" s="184" t="str">
        <f aca="false">IF(A40="","",DATE(YEAR(A40),MONTH(A40),1))</f>
        <v/>
      </c>
      <c r="I40" s="185"/>
      <c r="J40" s="144"/>
      <c r="K40" s="159" t="str">
        <f aca="false">IF(C40="","",N(C40)/IF(N40&lt;&gt;"",N40,IF(J40="",1,IFERROR(INDEX(Setup!$C$23:$C$46,MATCH(J40,Setup!$A$23:$A$46,0)),1))))</f>
        <v/>
      </c>
      <c r="L40" s="144"/>
      <c r="M40" s="108"/>
      <c r="N40" s="111"/>
      <c r="O40" s="156" t="str">
        <f aca="false">IF(OR(B40="",L40="Transfer"),"",IF(COUNTIFS($B$5:$B$604,B40,$H$5:$H$604,EDATE(H40,-1),$C$5:$C$604,"&gt;="&amp;C40*0.85,$C$5:$C$604,"&lt;="&amp;C40*1.15)&gt;0,"recurring",""))</f>
        <v/>
      </c>
      <c r="P40" s="157" t="str">
        <f aca="false">IF(B40="","",IF(COUNTIF(B40:$B$604,B40)=1,1,""))</f>
        <v/>
      </c>
      <c r="Q40" s="157" t="str">
        <f aca="false">IF(AND(O40="recurring",P40=1),COUNTIFS($O$5:O40,"recurring",$P$5:P40,1),"")</f>
        <v/>
      </c>
    </row>
    <row r="41" customFormat="false" ht="15" hidden="false" customHeight="false" outlineLevel="0" collapsed="false">
      <c r="A41" s="110"/>
      <c r="B41" s="108"/>
      <c r="C41" s="142"/>
      <c r="D41" s="108"/>
      <c r="E41" s="183" t="str">
        <f aca="false" t="array" ref="E41:E41">IF(B41="","",IFERROR(INDEX(Keywords!$B$5:$B$165,MAX(ISNUMBER(SEARCH(Keywords!$A$5:$A$165,B41))*(Keywords!$A$5:$A$165&lt;&gt;"")*ROW(Keywords!$A$5:$A$165))-4),""))</f>
        <v/>
      </c>
      <c r="F41" s="150" t="str">
        <f aca="false">IF(B41="","",IF(L41="Transfer","Transfer",IF(L41="Income","Income",IF(D41&lt;&gt;"",D41,IF(E41&lt;&gt;"",E41,"Uncategorized")))))</f>
        <v/>
      </c>
      <c r="G41" s="108"/>
      <c r="H41" s="184" t="str">
        <f aca="false">IF(A41="","",DATE(YEAR(A41),MONTH(A41),1))</f>
        <v/>
      </c>
      <c r="I41" s="185"/>
      <c r="J41" s="144"/>
      <c r="K41" s="159" t="str">
        <f aca="false">IF(C41="","",N(C41)/IF(N41&lt;&gt;"",N41,IF(J41="",1,IFERROR(INDEX(Setup!$C$23:$C$46,MATCH(J41,Setup!$A$23:$A$46,0)),1))))</f>
        <v/>
      </c>
      <c r="L41" s="144"/>
      <c r="M41" s="108"/>
      <c r="N41" s="111"/>
      <c r="O41" s="156" t="str">
        <f aca="false">IF(OR(B41="",L41="Transfer"),"",IF(COUNTIFS($B$5:$B$604,B41,$H$5:$H$604,EDATE(H41,-1),$C$5:$C$604,"&gt;="&amp;C41*0.85,$C$5:$C$604,"&lt;="&amp;C41*1.15)&gt;0,"recurring",""))</f>
        <v/>
      </c>
      <c r="P41" s="157" t="str">
        <f aca="false">IF(B41="","",IF(COUNTIF(B41:$B$604,B41)=1,1,""))</f>
        <v/>
      </c>
      <c r="Q41" s="157" t="str">
        <f aca="false">IF(AND(O41="recurring",P41=1),COUNTIFS($O$5:O41,"recurring",$P$5:P41,1),"")</f>
        <v/>
      </c>
    </row>
    <row r="42" customFormat="false" ht="15" hidden="false" customHeight="false" outlineLevel="0" collapsed="false">
      <c r="A42" s="110"/>
      <c r="B42" s="108"/>
      <c r="C42" s="142"/>
      <c r="D42" s="108"/>
      <c r="E42" s="183" t="str">
        <f aca="false" t="array" ref="E42:E42">IF(B42="","",IFERROR(INDEX(Keywords!$B$5:$B$165,MAX(ISNUMBER(SEARCH(Keywords!$A$5:$A$165,B42))*(Keywords!$A$5:$A$165&lt;&gt;"")*ROW(Keywords!$A$5:$A$165))-4),""))</f>
        <v/>
      </c>
      <c r="F42" s="150" t="str">
        <f aca="false">IF(B42="","",IF(L42="Transfer","Transfer",IF(L42="Income","Income",IF(D42&lt;&gt;"",D42,IF(E42&lt;&gt;"",E42,"Uncategorized")))))</f>
        <v/>
      </c>
      <c r="G42" s="108"/>
      <c r="H42" s="184" t="str">
        <f aca="false">IF(A42="","",DATE(YEAR(A42),MONTH(A42),1))</f>
        <v/>
      </c>
      <c r="I42" s="185"/>
      <c r="J42" s="144"/>
      <c r="K42" s="159" t="str">
        <f aca="false">IF(C42="","",N(C42)/IF(N42&lt;&gt;"",N42,IF(J42="",1,IFERROR(INDEX(Setup!$C$23:$C$46,MATCH(J42,Setup!$A$23:$A$46,0)),1))))</f>
        <v/>
      </c>
      <c r="L42" s="144"/>
      <c r="M42" s="108"/>
      <c r="N42" s="111"/>
      <c r="O42" s="156" t="str">
        <f aca="false">IF(OR(B42="",L42="Transfer"),"",IF(COUNTIFS($B$5:$B$604,B42,$H$5:$H$604,EDATE(H42,-1),$C$5:$C$604,"&gt;="&amp;C42*0.85,$C$5:$C$604,"&lt;="&amp;C42*1.15)&gt;0,"recurring",""))</f>
        <v/>
      </c>
      <c r="P42" s="157" t="str">
        <f aca="false">IF(B42="","",IF(COUNTIF(B42:$B$604,B42)=1,1,""))</f>
        <v/>
      </c>
      <c r="Q42" s="157" t="str">
        <f aca="false">IF(AND(O42="recurring",P42=1),COUNTIFS($O$5:O42,"recurring",$P$5:P42,1),"")</f>
        <v/>
      </c>
    </row>
    <row r="43" customFormat="false" ht="15" hidden="false" customHeight="false" outlineLevel="0" collapsed="false">
      <c r="A43" s="110"/>
      <c r="B43" s="108"/>
      <c r="C43" s="142"/>
      <c r="D43" s="108"/>
      <c r="E43" s="183" t="str">
        <f aca="false" t="array" ref="E43:E43">IF(B43="","",IFERROR(INDEX(Keywords!$B$5:$B$165,MAX(ISNUMBER(SEARCH(Keywords!$A$5:$A$165,B43))*(Keywords!$A$5:$A$165&lt;&gt;"")*ROW(Keywords!$A$5:$A$165))-4),""))</f>
        <v/>
      </c>
      <c r="F43" s="150" t="str">
        <f aca="false">IF(B43="","",IF(L43="Transfer","Transfer",IF(L43="Income","Income",IF(D43&lt;&gt;"",D43,IF(E43&lt;&gt;"",E43,"Uncategorized")))))</f>
        <v/>
      </c>
      <c r="G43" s="108"/>
      <c r="H43" s="184" t="str">
        <f aca="false">IF(A43="","",DATE(YEAR(A43),MONTH(A43),1))</f>
        <v/>
      </c>
      <c r="I43" s="185"/>
      <c r="J43" s="144"/>
      <c r="K43" s="159" t="str">
        <f aca="false">IF(C43="","",N(C43)/IF(N43&lt;&gt;"",N43,IF(J43="",1,IFERROR(INDEX(Setup!$C$23:$C$46,MATCH(J43,Setup!$A$23:$A$46,0)),1))))</f>
        <v/>
      </c>
      <c r="L43" s="144"/>
      <c r="M43" s="108"/>
      <c r="N43" s="111"/>
      <c r="O43" s="156" t="str">
        <f aca="false">IF(OR(B43="",L43="Transfer"),"",IF(COUNTIFS($B$5:$B$604,B43,$H$5:$H$604,EDATE(H43,-1),$C$5:$C$604,"&gt;="&amp;C43*0.85,$C$5:$C$604,"&lt;="&amp;C43*1.15)&gt;0,"recurring",""))</f>
        <v/>
      </c>
      <c r="P43" s="157" t="str">
        <f aca="false">IF(B43="","",IF(COUNTIF(B43:$B$604,B43)=1,1,""))</f>
        <v/>
      </c>
      <c r="Q43" s="157" t="str">
        <f aca="false">IF(AND(O43="recurring",P43=1),COUNTIFS($O$5:O43,"recurring",$P$5:P43,1),"")</f>
        <v/>
      </c>
    </row>
    <row r="44" customFormat="false" ht="15" hidden="false" customHeight="false" outlineLevel="0" collapsed="false">
      <c r="A44" s="110"/>
      <c r="B44" s="108"/>
      <c r="C44" s="142"/>
      <c r="D44" s="108"/>
      <c r="E44" s="183" t="str">
        <f aca="false" t="array" ref="E44:E44">IF(B44="","",IFERROR(INDEX(Keywords!$B$5:$B$165,MAX(ISNUMBER(SEARCH(Keywords!$A$5:$A$165,B44))*(Keywords!$A$5:$A$165&lt;&gt;"")*ROW(Keywords!$A$5:$A$165))-4),""))</f>
        <v/>
      </c>
      <c r="F44" s="150" t="str">
        <f aca="false">IF(B44="","",IF(L44="Transfer","Transfer",IF(L44="Income","Income",IF(D44&lt;&gt;"",D44,IF(E44&lt;&gt;"",E44,"Uncategorized")))))</f>
        <v/>
      </c>
      <c r="G44" s="108"/>
      <c r="H44" s="184" t="str">
        <f aca="false">IF(A44="","",DATE(YEAR(A44),MONTH(A44),1))</f>
        <v/>
      </c>
      <c r="I44" s="185"/>
      <c r="J44" s="144"/>
      <c r="K44" s="159" t="str">
        <f aca="false">IF(C44="","",N(C44)/IF(N44&lt;&gt;"",N44,IF(J44="",1,IFERROR(INDEX(Setup!$C$23:$C$46,MATCH(J44,Setup!$A$23:$A$46,0)),1))))</f>
        <v/>
      </c>
      <c r="L44" s="144"/>
      <c r="M44" s="108"/>
      <c r="N44" s="111"/>
      <c r="O44" s="156" t="str">
        <f aca="false">IF(OR(B44="",L44="Transfer"),"",IF(COUNTIFS($B$5:$B$604,B44,$H$5:$H$604,EDATE(H44,-1),$C$5:$C$604,"&gt;="&amp;C44*0.85,$C$5:$C$604,"&lt;="&amp;C44*1.15)&gt;0,"recurring",""))</f>
        <v/>
      </c>
      <c r="P44" s="157" t="str">
        <f aca="false">IF(B44="","",IF(COUNTIF(B44:$B$604,B44)=1,1,""))</f>
        <v/>
      </c>
      <c r="Q44" s="157" t="str">
        <f aca="false">IF(AND(O44="recurring",P44=1),COUNTIFS($O$5:O44,"recurring",$P$5:P44,1),"")</f>
        <v/>
      </c>
    </row>
    <row r="45" customFormat="false" ht="15" hidden="false" customHeight="false" outlineLevel="0" collapsed="false">
      <c r="A45" s="110"/>
      <c r="B45" s="108"/>
      <c r="C45" s="142"/>
      <c r="D45" s="108"/>
      <c r="E45" s="183" t="str">
        <f aca="false" t="array" ref="E45:E45">IF(B45="","",IFERROR(INDEX(Keywords!$B$5:$B$165,MAX(ISNUMBER(SEARCH(Keywords!$A$5:$A$165,B45))*(Keywords!$A$5:$A$165&lt;&gt;"")*ROW(Keywords!$A$5:$A$165))-4),""))</f>
        <v/>
      </c>
      <c r="F45" s="150" t="str">
        <f aca="false">IF(B45="","",IF(L45="Transfer","Transfer",IF(L45="Income","Income",IF(D45&lt;&gt;"",D45,IF(E45&lt;&gt;"",E45,"Uncategorized")))))</f>
        <v/>
      </c>
      <c r="G45" s="108"/>
      <c r="H45" s="184" t="str">
        <f aca="false">IF(A45="","",DATE(YEAR(A45),MONTH(A45),1))</f>
        <v/>
      </c>
      <c r="I45" s="185"/>
      <c r="J45" s="144"/>
      <c r="K45" s="159" t="str">
        <f aca="false">IF(C45="","",N(C45)/IF(N45&lt;&gt;"",N45,IF(J45="",1,IFERROR(INDEX(Setup!$C$23:$C$46,MATCH(J45,Setup!$A$23:$A$46,0)),1))))</f>
        <v/>
      </c>
      <c r="L45" s="144"/>
      <c r="M45" s="108"/>
      <c r="N45" s="111"/>
      <c r="O45" s="156" t="str">
        <f aca="false">IF(OR(B45="",L45="Transfer"),"",IF(COUNTIFS($B$5:$B$604,B45,$H$5:$H$604,EDATE(H45,-1),$C$5:$C$604,"&gt;="&amp;C45*0.85,$C$5:$C$604,"&lt;="&amp;C45*1.15)&gt;0,"recurring",""))</f>
        <v/>
      </c>
      <c r="P45" s="157" t="str">
        <f aca="false">IF(B45="","",IF(COUNTIF(B45:$B$604,B45)=1,1,""))</f>
        <v/>
      </c>
      <c r="Q45" s="157" t="str">
        <f aca="false">IF(AND(O45="recurring",P45=1),COUNTIFS($O$5:O45,"recurring",$P$5:P45,1),"")</f>
        <v/>
      </c>
    </row>
    <row r="46" customFormat="false" ht="15" hidden="false" customHeight="false" outlineLevel="0" collapsed="false">
      <c r="A46" s="110"/>
      <c r="B46" s="108"/>
      <c r="C46" s="142"/>
      <c r="D46" s="108"/>
      <c r="E46" s="183" t="str">
        <f aca="false" t="array" ref="E46:E46">IF(B46="","",IFERROR(INDEX(Keywords!$B$5:$B$165,MAX(ISNUMBER(SEARCH(Keywords!$A$5:$A$165,B46))*(Keywords!$A$5:$A$165&lt;&gt;"")*ROW(Keywords!$A$5:$A$165))-4),""))</f>
        <v/>
      </c>
      <c r="F46" s="150" t="str">
        <f aca="false">IF(B46="","",IF(L46="Transfer","Transfer",IF(L46="Income","Income",IF(D46&lt;&gt;"",D46,IF(E46&lt;&gt;"",E46,"Uncategorized")))))</f>
        <v/>
      </c>
      <c r="G46" s="108"/>
      <c r="H46" s="184" t="str">
        <f aca="false">IF(A46="","",DATE(YEAR(A46),MONTH(A46),1))</f>
        <v/>
      </c>
      <c r="I46" s="185"/>
      <c r="J46" s="144"/>
      <c r="K46" s="159" t="str">
        <f aca="false">IF(C46="","",N(C46)/IF(N46&lt;&gt;"",N46,IF(J46="",1,IFERROR(INDEX(Setup!$C$23:$C$46,MATCH(J46,Setup!$A$23:$A$46,0)),1))))</f>
        <v/>
      </c>
      <c r="L46" s="144"/>
      <c r="M46" s="108"/>
      <c r="N46" s="111"/>
      <c r="O46" s="156" t="str">
        <f aca="false">IF(OR(B46="",L46="Transfer"),"",IF(COUNTIFS($B$5:$B$604,B46,$H$5:$H$604,EDATE(H46,-1),$C$5:$C$604,"&gt;="&amp;C46*0.85,$C$5:$C$604,"&lt;="&amp;C46*1.15)&gt;0,"recurring",""))</f>
        <v/>
      </c>
      <c r="P46" s="157" t="str">
        <f aca="false">IF(B46="","",IF(COUNTIF(B46:$B$604,B46)=1,1,""))</f>
        <v/>
      </c>
      <c r="Q46" s="157" t="str">
        <f aca="false">IF(AND(O46="recurring",P46=1),COUNTIFS($O$5:O46,"recurring",$P$5:P46,1),"")</f>
        <v/>
      </c>
    </row>
    <row r="47" customFormat="false" ht="15" hidden="false" customHeight="false" outlineLevel="0" collapsed="false">
      <c r="A47" s="110"/>
      <c r="B47" s="108"/>
      <c r="C47" s="142"/>
      <c r="D47" s="108"/>
      <c r="E47" s="183" t="str">
        <f aca="false" t="array" ref="E47:E47">IF(B47="","",IFERROR(INDEX(Keywords!$B$5:$B$165,MAX(ISNUMBER(SEARCH(Keywords!$A$5:$A$165,B47))*(Keywords!$A$5:$A$165&lt;&gt;"")*ROW(Keywords!$A$5:$A$165))-4),""))</f>
        <v/>
      </c>
      <c r="F47" s="150" t="str">
        <f aca="false">IF(B47="","",IF(L47="Transfer","Transfer",IF(L47="Income","Income",IF(D47&lt;&gt;"",D47,IF(E47&lt;&gt;"",E47,"Uncategorized")))))</f>
        <v/>
      </c>
      <c r="G47" s="108"/>
      <c r="H47" s="184" t="str">
        <f aca="false">IF(A47="","",DATE(YEAR(A47),MONTH(A47),1))</f>
        <v/>
      </c>
      <c r="I47" s="185"/>
      <c r="J47" s="144"/>
      <c r="K47" s="159" t="str">
        <f aca="false">IF(C47="","",N(C47)/IF(N47&lt;&gt;"",N47,IF(J47="",1,IFERROR(INDEX(Setup!$C$23:$C$46,MATCH(J47,Setup!$A$23:$A$46,0)),1))))</f>
        <v/>
      </c>
      <c r="L47" s="144"/>
      <c r="M47" s="108"/>
      <c r="N47" s="111"/>
      <c r="O47" s="156" t="str">
        <f aca="false">IF(OR(B47="",L47="Transfer"),"",IF(COUNTIFS($B$5:$B$604,B47,$H$5:$H$604,EDATE(H47,-1),$C$5:$C$604,"&gt;="&amp;C47*0.85,$C$5:$C$604,"&lt;="&amp;C47*1.15)&gt;0,"recurring",""))</f>
        <v/>
      </c>
      <c r="P47" s="157" t="str">
        <f aca="false">IF(B47="","",IF(COUNTIF(B47:$B$604,B47)=1,1,""))</f>
        <v/>
      </c>
      <c r="Q47" s="157" t="str">
        <f aca="false">IF(AND(O47="recurring",P47=1),COUNTIFS($O$5:O47,"recurring",$P$5:P47,1),"")</f>
        <v/>
      </c>
    </row>
    <row r="48" customFormat="false" ht="15" hidden="false" customHeight="false" outlineLevel="0" collapsed="false">
      <c r="A48" s="110"/>
      <c r="B48" s="108"/>
      <c r="C48" s="142"/>
      <c r="D48" s="108"/>
      <c r="E48" s="183" t="str">
        <f aca="false" t="array" ref="E48:E48">IF(B48="","",IFERROR(INDEX(Keywords!$B$5:$B$165,MAX(ISNUMBER(SEARCH(Keywords!$A$5:$A$165,B48))*(Keywords!$A$5:$A$165&lt;&gt;"")*ROW(Keywords!$A$5:$A$165))-4),""))</f>
        <v/>
      </c>
      <c r="F48" s="150" t="str">
        <f aca="false">IF(B48="","",IF(L48="Transfer","Transfer",IF(L48="Income","Income",IF(D48&lt;&gt;"",D48,IF(E48&lt;&gt;"",E48,"Uncategorized")))))</f>
        <v/>
      </c>
      <c r="G48" s="108"/>
      <c r="H48" s="184" t="str">
        <f aca="false">IF(A48="","",DATE(YEAR(A48),MONTH(A48),1))</f>
        <v/>
      </c>
      <c r="I48" s="185"/>
      <c r="J48" s="144"/>
      <c r="K48" s="159" t="str">
        <f aca="false">IF(C48="","",N(C48)/IF(N48&lt;&gt;"",N48,IF(J48="",1,IFERROR(INDEX(Setup!$C$23:$C$46,MATCH(J48,Setup!$A$23:$A$46,0)),1))))</f>
        <v/>
      </c>
      <c r="L48" s="144"/>
      <c r="M48" s="108"/>
      <c r="N48" s="111"/>
      <c r="O48" s="156" t="str">
        <f aca="false">IF(OR(B48="",L48="Transfer"),"",IF(COUNTIFS($B$5:$B$604,B48,$H$5:$H$604,EDATE(H48,-1),$C$5:$C$604,"&gt;="&amp;C48*0.85,$C$5:$C$604,"&lt;="&amp;C48*1.15)&gt;0,"recurring",""))</f>
        <v/>
      </c>
      <c r="P48" s="157" t="str">
        <f aca="false">IF(B48="","",IF(COUNTIF(B48:$B$604,B48)=1,1,""))</f>
        <v/>
      </c>
      <c r="Q48" s="157" t="str">
        <f aca="false">IF(AND(O48="recurring",P48=1),COUNTIFS($O$5:O48,"recurring",$P$5:P48,1),"")</f>
        <v/>
      </c>
    </row>
    <row r="49" customFormat="false" ht="15" hidden="false" customHeight="false" outlineLevel="0" collapsed="false">
      <c r="A49" s="110"/>
      <c r="B49" s="108"/>
      <c r="C49" s="142"/>
      <c r="D49" s="108"/>
      <c r="E49" s="183" t="str">
        <f aca="false" t="array" ref="E49:E49">IF(B49="","",IFERROR(INDEX(Keywords!$B$5:$B$165,MAX(ISNUMBER(SEARCH(Keywords!$A$5:$A$165,B49))*(Keywords!$A$5:$A$165&lt;&gt;"")*ROW(Keywords!$A$5:$A$165))-4),""))</f>
        <v/>
      </c>
      <c r="F49" s="150" t="str">
        <f aca="false">IF(B49="","",IF(L49="Transfer","Transfer",IF(L49="Income","Income",IF(D49&lt;&gt;"",D49,IF(E49&lt;&gt;"",E49,"Uncategorized")))))</f>
        <v/>
      </c>
      <c r="G49" s="108"/>
      <c r="H49" s="184" t="str">
        <f aca="false">IF(A49="","",DATE(YEAR(A49),MONTH(A49),1))</f>
        <v/>
      </c>
      <c r="I49" s="185"/>
      <c r="J49" s="144"/>
      <c r="K49" s="159" t="str">
        <f aca="false">IF(C49="","",N(C49)/IF(N49&lt;&gt;"",N49,IF(J49="",1,IFERROR(INDEX(Setup!$C$23:$C$46,MATCH(J49,Setup!$A$23:$A$46,0)),1))))</f>
        <v/>
      </c>
      <c r="L49" s="144"/>
      <c r="M49" s="108"/>
      <c r="N49" s="111"/>
      <c r="O49" s="156" t="str">
        <f aca="false">IF(OR(B49="",L49="Transfer"),"",IF(COUNTIFS($B$5:$B$604,B49,$H$5:$H$604,EDATE(H49,-1),$C$5:$C$604,"&gt;="&amp;C49*0.85,$C$5:$C$604,"&lt;="&amp;C49*1.15)&gt;0,"recurring",""))</f>
        <v/>
      </c>
      <c r="P49" s="157" t="str">
        <f aca="false">IF(B49="","",IF(COUNTIF(B49:$B$604,B49)=1,1,""))</f>
        <v/>
      </c>
      <c r="Q49" s="157" t="str">
        <f aca="false">IF(AND(O49="recurring",P49=1),COUNTIFS($O$5:O49,"recurring",$P$5:P49,1),"")</f>
        <v/>
      </c>
    </row>
    <row r="50" customFormat="false" ht="15" hidden="false" customHeight="false" outlineLevel="0" collapsed="false">
      <c r="A50" s="110"/>
      <c r="B50" s="108"/>
      <c r="C50" s="142"/>
      <c r="D50" s="108"/>
      <c r="E50" s="183" t="str">
        <f aca="false" t="array" ref="E50:E50">IF(B50="","",IFERROR(INDEX(Keywords!$B$5:$B$165,MAX(ISNUMBER(SEARCH(Keywords!$A$5:$A$165,B50))*(Keywords!$A$5:$A$165&lt;&gt;"")*ROW(Keywords!$A$5:$A$165))-4),""))</f>
        <v/>
      </c>
      <c r="F50" s="150" t="str">
        <f aca="false">IF(B50="","",IF(L50="Transfer","Transfer",IF(L50="Income","Income",IF(D50&lt;&gt;"",D50,IF(E50&lt;&gt;"",E50,"Uncategorized")))))</f>
        <v/>
      </c>
      <c r="G50" s="108"/>
      <c r="H50" s="184" t="str">
        <f aca="false">IF(A50="","",DATE(YEAR(A50),MONTH(A50),1))</f>
        <v/>
      </c>
      <c r="I50" s="185"/>
      <c r="J50" s="144"/>
      <c r="K50" s="159" t="str">
        <f aca="false">IF(C50="","",N(C50)/IF(N50&lt;&gt;"",N50,IF(J50="",1,IFERROR(INDEX(Setup!$C$23:$C$46,MATCH(J50,Setup!$A$23:$A$46,0)),1))))</f>
        <v/>
      </c>
      <c r="L50" s="144"/>
      <c r="M50" s="108"/>
      <c r="N50" s="111"/>
      <c r="O50" s="156" t="str">
        <f aca="false">IF(OR(B50="",L50="Transfer"),"",IF(COUNTIFS($B$5:$B$604,B50,$H$5:$H$604,EDATE(H50,-1),$C$5:$C$604,"&gt;="&amp;C50*0.85,$C$5:$C$604,"&lt;="&amp;C50*1.15)&gt;0,"recurring",""))</f>
        <v/>
      </c>
      <c r="P50" s="157" t="str">
        <f aca="false">IF(B50="","",IF(COUNTIF(B50:$B$604,B50)=1,1,""))</f>
        <v/>
      </c>
      <c r="Q50" s="157" t="str">
        <f aca="false">IF(AND(O50="recurring",P50=1),COUNTIFS($O$5:O50,"recurring",$P$5:P50,1),"")</f>
        <v/>
      </c>
    </row>
    <row r="51" customFormat="false" ht="15" hidden="false" customHeight="false" outlineLevel="0" collapsed="false">
      <c r="A51" s="110"/>
      <c r="B51" s="108"/>
      <c r="C51" s="142"/>
      <c r="D51" s="108"/>
      <c r="E51" s="183" t="str">
        <f aca="false" t="array" ref="E51:E51">IF(B51="","",IFERROR(INDEX(Keywords!$B$5:$B$165,MAX(ISNUMBER(SEARCH(Keywords!$A$5:$A$165,B51))*(Keywords!$A$5:$A$165&lt;&gt;"")*ROW(Keywords!$A$5:$A$165))-4),""))</f>
        <v/>
      </c>
      <c r="F51" s="150" t="str">
        <f aca="false">IF(B51="","",IF(L51="Transfer","Transfer",IF(L51="Income","Income",IF(D51&lt;&gt;"",D51,IF(E51&lt;&gt;"",E51,"Uncategorized")))))</f>
        <v/>
      </c>
      <c r="G51" s="108"/>
      <c r="H51" s="184" t="str">
        <f aca="false">IF(A51="","",DATE(YEAR(A51),MONTH(A51),1))</f>
        <v/>
      </c>
      <c r="I51" s="185"/>
      <c r="J51" s="144"/>
      <c r="K51" s="159" t="str">
        <f aca="false">IF(C51="","",N(C51)/IF(N51&lt;&gt;"",N51,IF(J51="",1,IFERROR(INDEX(Setup!$C$23:$C$46,MATCH(J51,Setup!$A$23:$A$46,0)),1))))</f>
        <v/>
      </c>
      <c r="L51" s="144"/>
      <c r="M51" s="108"/>
      <c r="N51" s="111"/>
      <c r="O51" s="156" t="str">
        <f aca="false">IF(OR(B51="",L51="Transfer"),"",IF(COUNTIFS($B$5:$B$604,B51,$H$5:$H$604,EDATE(H51,-1),$C$5:$C$604,"&gt;="&amp;C51*0.85,$C$5:$C$604,"&lt;="&amp;C51*1.15)&gt;0,"recurring",""))</f>
        <v/>
      </c>
      <c r="P51" s="157" t="str">
        <f aca="false">IF(B51="","",IF(COUNTIF(B51:$B$604,B51)=1,1,""))</f>
        <v/>
      </c>
      <c r="Q51" s="157" t="str">
        <f aca="false">IF(AND(O51="recurring",P51=1),COUNTIFS($O$5:O51,"recurring",$P$5:P51,1),"")</f>
        <v/>
      </c>
    </row>
    <row r="52" customFormat="false" ht="15" hidden="false" customHeight="false" outlineLevel="0" collapsed="false">
      <c r="A52" s="110"/>
      <c r="B52" s="108"/>
      <c r="C52" s="142"/>
      <c r="D52" s="108"/>
      <c r="E52" s="183" t="str">
        <f aca="false" t="array" ref="E52:E52">IF(B52="","",IFERROR(INDEX(Keywords!$B$5:$B$165,MAX(ISNUMBER(SEARCH(Keywords!$A$5:$A$165,B52))*(Keywords!$A$5:$A$165&lt;&gt;"")*ROW(Keywords!$A$5:$A$165))-4),""))</f>
        <v/>
      </c>
      <c r="F52" s="150" t="str">
        <f aca="false">IF(B52="","",IF(L52="Transfer","Transfer",IF(L52="Income","Income",IF(D52&lt;&gt;"",D52,IF(E52&lt;&gt;"",E52,"Uncategorized")))))</f>
        <v/>
      </c>
      <c r="G52" s="108"/>
      <c r="H52" s="184" t="str">
        <f aca="false">IF(A52="","",DATE(YEAR(A52),MONTH(A52),1))</f>
        <v/>
      </c>
      <c r="I52" s="185"/>
      <c r="J52" s="144"/>
      <c r="K52" s="159" t="str">
        <f aca="false">IF(C52="","",N(C52)/IF(N52&lt;&gt;"",N52,IF(J52="",1,IFERROR(INDEX(Setup!$C$23:$C$46,MATCH(J52,Setup!$A$23:$A$46,0)),1))))</f>
        <v/>
      </c>
      <c r="L52" s="144"/>
      <c r="M52" s="108"/>
      <c r="N52" s="111"/>
      <c r="O52" s="156" t="str">
        <f aca="false">IF(OR(B52="",L52="Transfer"),"",IF(COUNTIFS($B$5:$B$604,B52,$H$5:$H$604,EDATE(H52,-1),$C$5:$C$604,"&gt;="&amp;C52*0.85,$C$5:$C$604,"&lt;="&amp;C52*1.15)&gt;0,"recurring",""))</f>
        <v/>
      </c>
      <c r="P52" s="157" t="str">
        <f aca="false">IF(B52="","",IF(COUNTIF(B52:$B$604,B52)=1,1,""))</f>
        <v/>
      </c>
      <c r="Q52" s="157" t="str">
        <f aca="false">IF(AND(O52="recurring",P52=1),COUNTIFS($O$5:O52,"recurring",$P$5:P52,1),"")</f>
        <v/>
      </c>
    </row>
    <row r="53" customFormat="false" ht="15" hidden="false" customHeight="false" outlineLevel="0" collapsed="false">
      <c r="A53" s="110"/>
      <c r="B53" s="108"/>
      <c r="C53" s="142"/>
      <c r="D53" s="108"/>
      <c r="E53" s="183" t="str">
        <f aca="false" t="array" ref="E53:E53">IF(B53="","",IFERROR(INDEX(Keywords!$B$5:$B$165,MAX(ISNUMBER(SEARCH(Keywords!$A$5:$A$165,B53))*(Keywords!$A$5:$A$165&lt;&gt;"")*ROW(Keywords!$A$5:$A$165))-4),""))</f>
        <v/>
      </c>
      <c r="F53" s="150" t="str">
        <f aca="false">IF(B53="","",IF(L53="Transfer","Transfer",IF(L53="Income","Income",IF(D53&lt;&gt;"",D53,IF(E53&lt;&gt;"",E53,"Uncategorized")))))</f>
        <v/>
      </c>
      <c r="G53" s="108"/>
      <c r="H53" s="184" t="str">
        <f aca="false">IF(A53="","",DATE(YEAR(A53),MONTH(A53),1))</f>
        <v/>
      </c>
      <c r="I53" s="185"/>
      <c r="J53" s="144"/>
      <c r="K53" s="159" t="str">
        <f aca="false">IF(C53="","",N(C53)/IF(N53&lt;&gt;"",N53,IF(J53="",1,IFERROR(INDEX(Setup!$C$23:$C$46,MATCH(J53,Setup!$A$23:$A$46,0)),1))))</f>
        <v/>
      </c>
      <c r="L53" s="144"/>
      <c r="M53" s="108"/>
      <c r="N53" s="111"/>
      <c r="O53" s="156" t="str">
        <f aca="false">IF(OR(B53="",L53="Transfer"),"",IF(COUNTIFS($B$5:$B$604,B53,$H$5:$H$604,EDATE(H53,-1),$C$5:$C$604,"&gt;="&amp;C53*0.85,$C$5:$C$604,"&lt;="&amp;C53*1.15)&gt;0,"recurring",""))</f>
        <v/>
      </c>
      <c r="P53" s="157" t="str">
        <f aca="false">IF(B53="","",IF(COUNTIF(B53:$B$604,B53)=1,1,""))</f>
        <v/>
      </c>
      <c r="Q53" s="157" t="str">
        <f aca="false">IF(AND(O53="recurring",P53=1),COUNTIFS($O$5:O53,"recurring",$P$5:P53,1),"")</f>
        <v/>
      </c>
    </row>
    <row r="54" customFormat="false" ht="15" hidden="false" customHeight="false" outlineLevel="0" collapsed="false">
      <c r="A54" s="110"/>
      <c r="B54" s="108"/>
      <c r="C54" s="142"/>
      <c r="D54" s="108"/>
      <c r="E54" s="183" t="str">
        <f aca="false" t="array" ref="E54:E54">IF(B54="","",IFERROR(INDEX(Keywords!$B$5:$B$165,MAX(ISNUMBER(SEARCH(Keywords!$A$5:$A$165,B54))*(Keywords!$A$5:$A$165&lt;&gt;"")*ROW(Keywords!$A$5:$A$165))-4),""))</f>
        <v/>
      </c>
      <c r="F54" s="150" t="str">
        <f aca="false">IF(B54="","",IF(L54="Transfer","Transfer",IF(L54="Income","Income",IF(D54&lt;&gt;"",D54,IF(E54&lt;&gt;"",E54,"Uncategorized")))))</f>
        <v/>
      </c>
      <c r="G54" s="108"/>
      <c r="H54" s="184" t="str">
        <f aca="false">IF(A54="","",DATE(YEAR(A54),MONTH(A54),1))</f>
        <v/>
      </c>
      <c r="I54" s="185"/>
      <c r="J54" s="144"/>
      <c r="K54" s="159" t="str">
        <f aca="false">IF(C54="","",N(C54)/IF(N54&lt;&gt;"",N54,IF(J54="",1,IFERROR(INDEX(Setup!$C$23:$C$46,MATCH(J54,Setup!$A$23:$A$46,0)),1))))</f>
        <v/>
      </c>
      <c r="L54" s="144"/>
      <c r="M54" s="108"/>
      <c r="N54" s="111"/>
      <c r="O54" s="156" t="str">
        <f aca="false">IF(OR(B54="",L54="Transfer"),"",IF(COUNTIFS($B$5:$B$604,B54,$H$5:$H$604,EDATE(H54,-1),$C$5:$C$604,"&gt;="&amp;C54*0.85,$C$5:$C$604,"&lt;="&amp;C54*1.15)&gt;0,"recurring",""))</f>
        <v/>
      </c>
      <c r="P54" s="157" t="str">
        <f aca="false">IF(B54="","",IF(COUNTIF(B54:$B$604,B54)=1,1,""))</f>
        <v/>
      </c>
      <c r="Q54" s="157" t="str">
        <f aca="false">IF(AND(O54="recurring",P54=1),COUNTIFS($O$5:O54,"recurring",$P$5:P54,1),"")</f>
        <v/>
      </c>
    </row>
    <row r="55" customFormat="false" ht="15" hidden="false" customHeight="false" outlineLevel="0" collapsed="false">
      <c r="A55" s="110"/>
      <c r="B55" s="108"/>
      <c r="C55" s="142"/>
      <c r="D55" s="108"/>
      <c r="E55" s="183" t="str">
        <f aca="false" t="array" ref="E55:E55">IF(B55="","",IFERROR(INDEX(Keywords!$B$5:$B$165,MAX(ISNUMBER(SEARCH(Keywords!$A$5:$A$165,B55))*(Keywords!$A$5:$A$165&lt;&gt;"")*ROW(Keywords!$A$5:$A$165))-4),""))</f>
        <v/>
      </c>
      <c r="F55" s="150" t="str">
        <f aca="false">IF(B55="","",IF(L55="Transfer","Transfer",IF(L55="Income","Income",IF(D55&lt;&gt;"",D55,IF(E55&lt;&gt;"",E55,"Uncategorized")))))</f>
        <v/>
      </c>
      <c r="G55" s="108"/>
      <c r="H55" s="184" t="str">
        <f aca="false">IF(A55="","",DATE(YEAR(A55),MONTH(A55),1))</f>
        <v/>
      </c>
      <c r="I55" s="185"/>
      <c r="J55" s="144"/>
      <c r="K55" s="159" t="str">
        <f aca="false">IF(C55="","",N(C55)/IF(N55&lt;&gt;"",N55,IF(J55="",1,IFERROR(INDEX(Setup!$C$23:$C$46,MATCH(J55,Setup!$A$23:$A$46,0)),1))))</f>
        <v/>
      </c>
      <c r="L55" s="144"/>
      <c r="M55" s="108"/>
      <c r="N55" s="111"/>
      <c r="O55" s="156" t="str">
        <f aca="false">IF(OR(B55="",L55="Transfer"),"",IF(COUNTIFS($B$5:$B$604,B55,$H$5:$H$604,EDATE(H55,-1),$C$5:$C$604,"&gt;="&amp;C55*0.85,$C$5:$C$604,"&lt;="&amp;C55*1.15)&gt;0,"recurring",""))</f>
        <v/>
      </c>
      <c r="P55" s="157" t="str">
        <f aca="false">IF(B55="","",IF(COUNTIF(B55:$B$604,B55)=1,1,""))</f>
        <v/>
      </c>
      <c r="Q55" s="157" t="str">
        <f aca="false">IF(AND(O55="recurring",P55=1),COUNTIFS($O$5:O55,"recurring",$P$5:P55,1),"")</f>
        <v/>
      </c>
    </row>
    <row r="56" customFormat="false" ht="15" hidden="false" customHeight="false" outlineLevel="0" collapsed="false">
      <c r="A56" s="110"/>
      <c r="B56" s="108"/>
      <c r="C56" s="142"/>
      <c r="D56" s="108"/>
      <c r="E56" s="183" t="str">
        <f aca="false" t="array" ref="E56:E56">IF(B56="","",IFERROR(INDEX(Keywords!$B$5:$B$165,MAX(ISNUMBER(SEARCH(Keywords!$A$5:$A$165,B56))*(Keywords!$A$5:$A$165&lt;&gt;"")*ROW(Keywords!$A$5:$A$165))-4),""))</f>
        <v/>
      </c>
      <c r="F56" s="150" t="str">
        <f aca="false">IF(B56="","",IF(L56="Transfer","Transfer",IF(L56="Income","Income",IF(D56&lt;&gt;"",D56,IF(E56&lt;&gt;"",E56,"Uncategorized")))))</f>
        <v/>
      </c>
      <c r="G56" s="108"/>
      <c r="H56" s="184" t="str">
        <f aca="false">IF(A56="","",DATE(YEAR(A56),MONTH(A56),1))</f>
        <v/>
      </c>
      <c r="I56" s="185"/>
      <c r="J56" s="144"/>
      <c r="K56" s="159" t="str">
        <f aca="false">IF(C56="","",N(C56)/IF(N56&lt;&gt;"",N56,IF(J56="",1,IFERROR(INDEX(Setup!$C$23:$C$46,MATCH(J56,Setup!$A$23:$A$46,0)),1))))</f>
        <v/>
      </c>
      <c r="L56" s="144"/>
      <c r="M56" s="108"/>
      <c r="N56" s="111"/>
      <c r="O56" s="156" t="str">
        <f aca="false">IF(OR(B56="",L56="Transfer"),"",IF(COUNTIFS($B$5:$B$604,B56,$H$5:$H$604,EDATE(H56,-1),$C$5:$C$604,"&gt;="&amp;C56*0.85,$C$5:$C$604,"&lt;="&amp;C56*1.15)&gt;0,"recurring",""))</f>
        <v/>
      </c>
      <c r="P56" s="157" t="str">
        <f aca="false">IF(B56="","",IF(COUNTIF(B56:$B$604,B56)=1,1,""))</f>
        <v/>
      </c>
      <c r="Q56" s="157" t="str">
        <f aca="false">IF(AND(O56="recurring",P56=1),COUNTIFS($O$5:O56,"recurring",$P$5:P56,1),"")</f>
        <v/>
      </c>
    </row>
    <row r="57" customFormat="false" ht="15" hidden="false" customHeight="false" outlineLevel="0" collapsed="false">
      <c r="A57" s="110"/>
      <c r="B57" s="108"/>
      <c r="C57" s="142"/>
      <c r="D57" s="108"/>
      <c r="E57" s="183" t="str">
        <f aca="false" t="array" ref="E57:E57">IF(B57="","",IFERROR(INDEX(Keywords!$B$5:$B$165,MAX(ISNUMBER(SEARCH(Keywords!$A$5:$A$165,B57))*(Keywords!$A$5:$A$165&lt;&gt;"")*ROW(Keywords!$A$5:$A$165))-4),""))</f>
        <v/>
      </c>
      <c r="F57" s="150" t="str">
        <f aca="false">IF(B57="","",IF(L57="Transfer","Transfer",IF(L57="Income","Income",IF(D57&lt;&gt;"",D57,IF(E57&lt;&gt;"",E57,"Uncategorized")))))</f>
        <v/>
      </c>
      <c r="G57" s="108"/>
      <c r="H57" s="184" t="str">
        <f aca="false">IF(A57="","",DATE(YEAR(A57),MONTH(A57),1))</f>
        <v/>
      </c>
      <c r="I57" s="185"/>
      <c r="J57" s="144"/>
      <c r="K57" s="159" t="str">
        <f aca="false">IF(C57="","",N(C57)/IF(N57&lt;&gt;"",N57,IF(J57="",1,IFERROR(INDEX(Setup!$C$23:$C$46,MATCH(J57,Setup!$A$23:$A$46,0)),1))))</f>
        <v/>
      </c>
      <c r="L57" s="144"/>
      <c r="M57" s="108"/>
      <c r="N57" s="111"/>
      <c r="O57" s="156" t="str">
        <f aca="false">IF(OR(B57="",L57="Transfer"),"",IF(COUNTIFS($B$5:$B$604,B57,$H$5:$H$604,EDATE(H57,-1),$C$5:$C$604,"&gt;="&amp;C57*0.85,$C$5:$C$604,"&lt;="&amp;C57*1.15)&gt;0,"recurring",""))</f>
        <v/>
      </c>
      <c r="P57" s="157" t="str">
        <f aca="false">IF(B57="","",IF(COUNTIF(B57:$B$604,B57)=1,1,""))</f>
        <v/>
      </c>
      <c r="Q57" s="157" t="str">
        <f aca="false">IF(AND(O57="recurring",P57=1),COUNTIFS($O$5:O57,"recurring",$P$5:P57,1),"")</f>
        <v/>
      </c>
    </row>
    <row r="58" customFormat="false" ht="15" hidden="false" customHeight="false" outlineLevel="0" collapsed="false">
      <c r="A58" s="110"/>
      <c r="B58" s="108"/>
      <c r="C58" s="142"/>
      <c r="D58" s="108"/>
      <c r="E58" s="183" t="str">
        <f aca="false" t="array" ref="E58:E58">IF(B58="","",IFERROR(INDEX(Keywords!$B$5:$B$165,MAX(ISNUMBER(SEARCH(Keywords!$A$5:$A$165,B58))*(Keywords!$A$5:$A$165&lt;&gt;"")*ROW(Keywords!$A$5:$A$165))-4),""))</f>
        <v/>
      </c>
      <c r="F58" s="150" t="str">
        <f aca="false">IF(B58="","",IF(L58="Transfer","Transfer",IF(L58="Income","Income",IF(D58&lt;&gt;"",D58,IF(E58&lt;&gt;"",E58,"Uncategorized")))))</f>
        <v/>
      </c>
      <c r="G58" s="108"/>
      <c r="H58" s="184" t="str">
        <f aca="false">IF(A58="","",DATE(YEAR(A58),MONTH(A58),1))</f>
        <v/>
      </c>
      <c r="I58" s="185"/>
      <c r="J58" s="144"/>
      <c r="K58" s="159" t="str">
        <f aca="false">IF(C58="","",N(C58)/IF(N58&lt;&gt;"",N58,IF(J58="",1,IFERROR(INDEX(Setup!$C$23:$C$46,MATCH(J58,Setup!$A$23:$A$46,0)),1))))</f>
        <v/>
      </c>
      <c r="L58" s="144"/>
      <c r="M58" s="108"/>
      <c r="N58" s="111"/>
      <c r="O58" s="156" t="str">
        <f aca="false">IF(OR(B58="",L58="Transfer"),"",IF(COUNTIFS($B$5:$B$604,B58,$H$5:$H$604,EDATE(H58,-1),$C$5:$C$604,"&gt;="&amp;C58*0.85,$C$5:$C$604,"&lt;="&amp;C58*1.15)&gt;0,"recurring",""))</f>
        <v/>
      </c>
      <c r="P58" s="157" t="str">
        <f aca="false">IF(B58="","",IF(COUNTIF(B58:$B$604,B58)=1,1,""))</f>
        <v/>
      </c>
      <c r="Q58" s="157" t="str">
        <f aca="false">IF(AND(O58="recurring",P58=1),COUNTIFS($O$5:O58,"recurring",$P$5:P58,1),"")</f>
        <v/>
      </c>
    </row>
    <row r="59" customFormat="false" ht="15" hidden="false" customHeight="false" outlineLevel="0" collapsed="false">
      <c r="A59" s="110"/>
      <c r="B59" s="108"/>
      <c r="C59" s="142"/>
      <c r="D59" s="108"/>
      <c r="E59" s="183" t="str">
        <f aca="false" t="array" ref="E59:E59">IF(B59="","",IFERROR(INDEX(Keywords!$B$5:$B$165,MAX(ISNUMBER(SEARCH(Keywords!$A$5:$A$165,B59))*(Keywords!$A$5:$A$165&lt;&gt;"")*ROW(Keywords!$A$5:$A$165))-4),""))</f>
        <v/>
      </c>
      <c r="F59" s="150" t="str">
        <f aca="false">IF(B59="","",IF(L59="Transfer","Transfer",IF(L59="Income","Income",IF(D59&lt;&gt;"",D59,IF(E59&lt;&gt;"",E59,"Uncategorized")))))</f>
        <v/>
      </c>
      <c r="G59" s="108"/>
      <c r="H59" s="184" t="str">
        <f aca="false">IF(A59="","",DATE(YEAR(A59),MONTH(A59),1))</f>
        <v/>
      </c>
      <c r="I59" s="185"/>
      <c r="J59" s="144"/>
      <c r="K59" s="159" t="str">
        <f aca="false">IF(C59="","",N(C59)/IF(N59&lt;&gt;"",N59,IF(J59="",1,IFERROR(INDEX(Setup!$C$23:$C$46,MATCH(J59,Setup!$A$23:$A$46,0)),1))))</f>
        <v/>
      </c>
      <c r="L59" s="144"/>
      <c r="M59" s="108"/>
      <c r="N59" s="111"/>
      <c r="O59" s="156" t="str">
        <f aca="false">IF(OR(B59="",L59="Transfer"),"",IF(COUNTIFS($B$5:$B$604,B59,$H$5:$H$604,EDATE(H59,-1),$C$5:$C$604,"&gt;="&amp;C59*0.85,$C$5:$C$604,"&lt;="&amp;C59*1.15)&gt;0,"recurring",""))</f>
        <v/>
      </c>
      <c r="P59" s="157" t="str">
        <f aca="false">IF(B59="","",IF(COUNTIF(B59:$B$604,B59)=1,1,""))</f>
        <v/>
      </c>
      <c r="Q59" s="157" t="str">
        <f aca="false">IF(AND(O59="recurring",P59=1),COUNTIFS($O$5:O59,"recurring",$P$5:P59,1),"")</f>
        <v/>
      </c>
    </row>
    <row r="60" customFormat="false" ht="15" hidden="false" customHeight="false" outlineLevel="0" collapsed="false">
      <c r="A60" s="110"/>
      <c r="B60" s="108"/>
      <c r="C60" s="142"/>
      <c r="D60" s="108"/>
      <c r="E60" s="183" t="str">
        <f aca="false" t="array" ref="E60:E60">IF(B60="","",IFERROR(INDEX(Keywords!$B$5:$B$165,MAX(ISNUMBER(SEARCH(Keywords!$A$5:$A$165,B60))*(Keywords!$A$5:$A$165&lt;&gt;"")*ROW(Keywords!$A$5:$A$165))-4),""))</f>
        <v/>
      </c>
      <c r="F60" s="150" t="str">
        <f aca="false">IF(B60="","",IF(L60="Transfer","Transfer",IF(L60="Income","Income",IF(D60&lt;&gt;"",D60,IF(E60&lt;&gt;"",E60,"Uncategorized")))))</f>
        <v/>
      </c>
      <c r="G60" s="108"/>
      <c r="H60" s="184" t="str">
        <f aca="false">IF(A60="","",DATE(YEAR(A60),MONTH(A60),1))</f>
        <v/>
      </c>
      <c r="I60" s="185"/>
      <c r="J60" s="144"/>
      <c r="K60" s="159" t="str">
        <f aca="false">IF(C60="","",N(C60)/IF(N60&lt;&gt;"",N60,IF(J60="",1,IFERROR(INDEX(Setup!$C$23:$C$46,MATCH(J60,Setup!$A$23:$A$46,0)),1))))</f>
        <v/>
      </c>
      <c r="L60" s="144"/>
      <c r="M60" s="108"/>
      <c r="N60" s="111"/>
      <c r="O60" s="156" t="str">
        <f aca="false">IF(OR(B60="",L60="Transfer"),"",IF(COUNTIFS($B$5:$B$604,B60,$H$5:$H$604,EDATE(H60,-1),$C$5:$C$604,"&gt;="&amp;C60*0.85,$C$5:$C$604,"&lt;="&amp;C60*1.15)&gt;0,"recurring",""))</f>
        <v/>
      </c>
      <c r="P60" s="157" t="str">
        <f aca="false">IF(B60="","",IF(COUNTIF(B60:$B$604,B60)=1,1,""))</f>
        <v/>
      </c>
      <c r="Q60" s="157" t="str">
        <f aca="false">IF(AND(O60="recurring",P60=1),COUNTIFS($O$5:O60,"recurring",$P$5:P60,1),"")</f>
        <v/>
      </c>
    </row>
    <row r="61" customFormat="false" ht="15" hidden="false" customHeight="false" outlineLevel="0" collapsed="false">
      <c r="A61" s="110"/>
      <c r="B61" s="108"/>
      <c r="C61" s="142"/>
      <c r="D61" s="108"/>
      <c r="E61" s="183" t="str">
        <f aca="false" t="array" ref="E61:E61">IF(B61="","",IFERROR(INDEX(Keywords!$B$5:$B$165,MAX(ISNUMBER(SEARCH(Keywords!$A$5:$A$165,B61))*(Keywords!$A$5:$A$165&lt;&gt;"")*ROW(Keywords!$A$5:$A$165))-4),""))</f>
        <v/>
      </c>
      <c r="F61" s="150" t="str">
        <f aca="false">IF(B61="","",IF(L61="Transfer","Transfer",IF(L61="Income","Income",IF(D61&lt;&gt;"",D61,IF(E61&lt;&gt;"",E61,"Uncategorized")))))</f>
        <v/>
      </c>
      <c r="G61" s="108"/>
      <c r="H61" s="184" t="str">
        <f aca="false">IF(A61="","",DATE(YEAR(A61),MONTH(A61),1))</f>
        <v/>
      </c>
      <c r="I61" s="185"/>
      <c r="J61" s="144"/>
      <c r="K61" s="159" t="str">
        <f aca="false">IF(C61="","",N(C61)/IF(N61&lt;&gt;"",N61,IF(J61="",1,IFERROR(INDEX(Setup!$C$23:$C$46,MATCH(J61,Setup!$A$23:$A$46,0)),1))))</f>
        <v/>
      </c>
      <c r="L61" s="144"/>
      <c r="M61" s="108"/>
      <c r="N61" s="111"/>
      <c r="O61" s="156" t="str">
        <f aca="false">IF(OR(B61="",L61="Transfer"),"",IF(COUNTIFS($B$5:$B$604,B61,$H$5:$H$604,EDATE(H61,-1),$C$5:$C$604,"&gt;="&amp;C61*0.85,$C$5:$C$604,"&lt;="&amp;C61*1.15)&gt;0,"recurring",""))</f>
        <v/>
      </c>
      <c r="P61" s="157" t="str">
        <f aca="false">IF(B61="","",IF(COUNTIF(B61:$B$604,B61)=1,1,""))</f>
        <v/>
      </c>
      <c r="Q61" s="157" t="str">
        <f aca="false">IF(AND(O61="recurring",P61=1),COUNTIFS($O$5:O61,"recurring",$P$5:P61,1),"")</f>
        <v/>
      </c>
    </row>
    <row r="62" customFormat="false" ht="15" hidden="false" customHeight="false" outlineLevel="0" collapsed="false">
      <c r="A62" s="110"/>
      <c r="B62" s="108"/>
      <c r="C62" s="142"/>
      <c r="D62" s="108"/>
      <c r="E62" s="183" t="str">
        <f aca="false" t="array" ref="E62:E62">IF(B62="","",IFERROR(INDEX(Keywords!$B$5:$B$165,MAX(ISNUMBER(SEARCH(Keywords!$A$5:$A$165,B62))*(Keywords!$A$5:$A$165&lt;&gt;"")*ROW(Keywords!$A$5:$A$165))-4),""))</f>
        <v/>
      </c>
      <c r="F62" s="150" t="str">
        <f aca="false">IF(B62="","",IF(L62="Transfer","Transfer",IF(L62="Income","Income",IF(D62&lt;&gt;"",D62,IF(E62&lt;&gt;"",E62,"Uncategorized")))))</f>
        <v/>
      </c>
      <c r="G62" s="108"/>
      <c r="H62" s="184" t="str">
        <f aca="false">IF(A62="","",DATE(YEAR(A62),MONTH(A62),1))</f>
        <v/>
      </c>
      <c r="I62" s="185"/>
      <c r="J62" s="144"/>
      <c r="K62" s="159" t="str">
        <f aca="false">IF(C62="","",N(C62)/IF(N62&lt;&gt;"",N62,IF(J62="",1,IFERROR(INDEX(Setup!$C$23:$C$46,MATCH(J62,Setup!$A$23:$A$46,0)),1))))</f>
        <v/>
      </c>
      <c r="L62" s="144"/>
      <c r="M62" s="108"/>
      <c r="N62" s="111"/>
      <c r="O62" s="156" t="str">
        <f aca="false">IF(OR(B62="",L62="Transfer"),"",IF(COUNTIFS($B$5:$B$604,B62,$H$5:$H$604,EDATE(H62,-1),$C$5:$C$604,"&gt;="&amp;C62*0.85,$C$5:$C$604,"&lt;="&amp;C62*1.15)&gt;0,"recurring",""))</f>
        <v/>
      </c>
      <c r="P62" s="157" t="str">
        <f aca="false">IF(B62="","",IF(COUNTIF(B62:$B$604,B62)=1,1,""))</f>
        <v/>
      </c>
      <c r="Q62" s="157" t="str">
        <f aca="false">IF(AND(O62="recurring",P62=1),COUNTIFS($O$5:O62,"recurring",$P$5:P62,1),"")</f>
        <v/>
      </c>
    </row>
    <row r="63" customFormat="false" ht="15" hidden="false" customHeight="false" outlineLevel="0" collapsed="false">
      <c r="A63" s="110"/>
      <c r="B63" s="108"/>
      <c r="C63" s="142"/>
      <c r="D63" s="108"/>
      <c r="E63" s="183" t="str">
        <f aca="false" t="array" ref="E63:E63">IF(B63="","",IFERROR(INDEX(Keywords!$B$5:$B$165,MAX(ISNUMBER(SEARCH(Keywords!$A$5:$A$165,B63))*(Keywords!$A$5:$A$165&lt;&gt;"")*ROW(Keywords!$A$5:$A$165))-4),""))</f>
        <v/>
      </c>
      <c r="F63" s="150" t="str">
        <f aca="false">IF(B63="","",IF(L63="Transfer","Transfer",IF(L63="Income","Income",IF(D63&lt;&gt;"",D63,IF(E63&lt;&gt;"",E63,"Uncategorized")))))</f>
        <v/>
      </c>
      <c r="G63" s="108"/>
      <c r="H63" s="184" t="str">
        <f aca="false">IF(A63="","",DATE(YEAR(A63),MONTH(A63),1))</f>
        <v/>
      </c>
      <c r="I63" s="185"/>
      <c r="J63" s="144"/>
      <c r="K63" s="159" t="str">
        <f aca="false">IF(C63="","",N(C63)/IF(N63&lt;&gt;"",N63,IF(J63="",1,IFERROR(INDEX(Setup!$C$23:$C$46,MATCH(J63,Setup!$A$23:$A$46,0)),1))))</f>
        <v/>
      </c>
      <c r="L63" s="144"/>
      <c r="M63" s="108"/>
      <c r="N63" s="111"/>
      <c r="O63" s="156" t="str">
        <f aca="false">IF(OR(B63="",L63="Transfer"),"",IF(COUNTIFS($B$5:$B$604,B63,$H$5:$H$604,EDATE(H63,-1),$C$5:$C$604,"&gt;="&amp;C63*0.85,$C$5:$C$604,"&lt;="&amp;C63*1.15)&gt;0,"recurring",""))</f>
        <v/>
      </c>
      <c r="P63" s="157" t="str">
        <f aca="false">IF(B63="","",IF(COUNTIF(B63:$B$604,B63)=1,1,""))</f>
        <v/>
      </c>
      <c r="Q63" s="157" t="str">
        <f aca="false">IF(AND(O63="recurring",P63=1),COUNTIFS($O$5:O63,"recurring",$P$5:P63,1),"")</f>
        <v/>
      </c>
    </row>
    <row r="64" customFormat="false" ht="15" hidden="false" customHeight="false" outlineLevel="0" collapsed="false">
      <c r="A64" s="110"/>
      <c r="B64" s="108"/>
      <c r="C64" s="142"/>
      <c r="D64" s="108"/>
      <c r="E64" s="183" t="str">
        <f aca="false" t="array" ref="E64:E64">IF(B64="","",IFERROR(INDEX(Keywords!$B$5:$B$165,MAX(ISNUMBER(SEARCH(Keywords!$A$5:$A$165,B64))*(Keywords!$A$5:$A$165&lt;&gt;"")*ROW(Keywords!$A$5:$A$165))-4),""))</f>
        <v/>
      </c>
      <c r="F64" s="150" t="str">
        <f aca="false">IF(B64="","",IF(L64="Transfer","Transfer",IF(L64="Income","Income",IF(D64&lt;&gt;"",D64,IF(E64&lt;&gt;"",E64,"Uncategorized")))))</f>
        <v/>
      </c>
      <c r="G64" s="108"/>
      <c r="H64" s="184" t="str">
        <f aca="false">IF(A64="","",DATE(YEAR(A64),MONTH(A64),1))</f>
        <v/>
      </c>
      <c r="I64" s="185"/>
      <c r="J64" s="144"/>
      <c r="K64" s="159" t="str">
        <f aca="false">IF(C64="","",N(C64)/IF(N64&lt;&gt;"",N64,IF(J64="",1,IFERROR(INDEX(Setup!$C$23:$C$46,MATCH(J64,Setup!$A$23:$A$46,0)),1))))</f>
        <v/>
      </c>
      <c r="L64" s="144"/>
      <c r="M64" s="108"/>
      <c r="N64" s="111"/>
      <c r="O64" s="156" t="str">
        <f aca="false">IF(OR(B64="",L64="Transfer"),"",IF(COUNTIFS($B$5:$B$604,B64,$H$5:$H$604,EDATE(H64,-1),$C$5:$C$604,"&gt;="&amp;C64*0.85,$C$5:$C$604,"&lt;="&amp;C64*1.15)&gt;0,"recurring",""))</f>
        <v/>
      </c>
      <c r="P64" s="157" t="str">
        <f aca="false">IF(B64="","",IF(COUNTIF(B64:$B$604,B64)=1,1,""))</f>
        <v/>
      </c>
      <c r="Q64" s="157" t="str">
        <f aca="false">IF(AND(O64="recurring",P64=1),COUNTIFS($O$5:O64,"recurring",$P$5:P64,1),"")</f>
        <v/>
      </c>
    </row>
    <row r="65" customFormat="false" ht="15" hidden="false" customHeight="false" outlineLevel="0" collapsed="false">
      <c r="A65" s="110"/>
      <c r="B65" s="108"/>
      <c r="C65" s="142"/>
      <c r="D65" s="108"/>
      <c r="E65" s="183" t="str">
        <f aca="false" t="array" ref="E65:E65">IF(B65="","",IFERROR(INDEX(Keywords!$B$5:$B$165,MAX(ISNUMBER(SEARCH(Keywords!$A$5:$A$165,B65))*(Keywords!$A$5:$A$165&lt;&gt;"")*ROW(Keywords!$A$5:$A$165))-4),""))</f>
        <v/>
      </c>
      <c r="F65" s="150" t="str">
        <f aca="false">IF(B65="","",IF(L65="Transfer","Transfer",IF(L65="Income","Income",IF(D65&lt;&gt;"",D65,IF(E65&lt;&gt;"",E65,"Uncategorized")))))</f>
        <v/>
      </c>
      <c r="G65" s="108"/>
      <c r="H65" s="184" t="str">
        <f aca="false">IF(A65="","",DATE(YEAR(A65),MONTH(A65),1))</f>
        <v/>
      </c>
      <c r="I65" s="185"/>
      <c r="J65" s="144"/>
      <c r="K65" s="159" t="str">
        <f aca="false">IF(C65="","",N(C65)/IF(N65&lt;&gt;"",N65,IF(J65="",1,IFERROR(INDEX(Setup!$C$23:$C$46,MATCH(J65,Setup!$A$23:$A$46,0)),1))))</f>
        <v/>
      </c>
      <c r="L65" s="144"/>
      <c r="M65" s="108"/>
      <c r="N65" s="111"/>
      <c r="O65" s="156" t="str">
        <f aca="false">IF(OR(B65="",L65="Transfer"),"",IF(COUNTIFS($B$5:$B$604,B65,$H$5:$H$604,EDATE(H65,-1),$C$5:$C$604,"&gt;="&amp;C65*0.85,$C$5:$C$604,"&lt;="&amp;C65*1.15)&gt;0,"recurring",""))</f>
        <v/>
      </c>
      <c r="P65" s="157" t="str">
        <f aca="false">IF(B65="","",IF(COUNTIF(B65:$B$604,B65)=1,1,""))</f>
        <v/>
      </c>
      <c r="Q65" s="157" t="str">
        <f aca="false">IF(AND(O65="recurring",P65=1),COUNTIFS($O$5:O65,"recurring",$P$5:P65,1),"")</f>
        <v/>
      </c>
    </row>
    <row r="66" customFormat="false" ht="15" hidden="false" customHeight="false" outlineLevel="0" collapsed="false">
      <c r="A66" s="110"/>
      <c r="B66" s="108"/>
      <c r="C66" s="142"/>
      <c r="D66" s="108"/>
      <c r="E66" s="183" t="str">
        <f aca="false" t="array" ref="E66:E66">IF(B66="","",IFERROR(INDEX(Keywords!$B$5:$B$165,MAX(ISNUMBER(SEARCH(Keywords!$A$5:$A$165,B66))*(Keywords!$A$5:$A$165&lt;&gt;"")*ROW(Keywords!$A$5:$A$165))-4),""))</f>
        <v/>
      </c>
      <c r="F66" s="150" t="str">
        <f aca="false">IF(B66="","",IF(L66="Transfer","Transfer",IF(L66="Income","Income",IF(D66&lt;&gt;"",D66,IF(E66&lt;&gt;"",E66,"Uncategorized")))))</f>
        <v/>
      </c>
      <c r="G66" s="108"/>
      <c r="H66" s="184" t="str">
        <f aca="false">IF(A66="","",DATE(YEAR(A66),MONTH(A66),1))</f>
        <v/>
      </c>
      <c r="I66" s="185"/>
      <c r="J66" s="144"/>
      <c r="K66" s="159" t="str">
        <f aca="false">IF(C66="","",N(C66)/IF(N66&lt;&gt;"",N66,IF(J66="",1,IFERROR(INDEX(Setup!$C$23:$C$46,MATCH(J66,Setup!$A$23:$A$46,0)),1))))</f>
        <v/>
      </c>
      <c r="L66" s="144"/>
      <c r="M66" s="108"/>
      <c r="N66" s="111"/>
      <c r="O66" s="156" t="str">
        <f aca="false">IF(OR(B66="",L66="Transfer"),"",IF(COUNTIFS($B$5:$B$604,B66,$H$5:$H$604,EDATE(H66,-1),$C$5:$C$604,"&gt;="&amp;C66*0.85,$C$5:$C$604,"&lt;="&amp;C66*1.15)&gt;0,"recurring",""))</f>
        <v/>
      </c>
      <c r="P66" s="157" t="str">
        <f aca="false">IF(B66="","",IF(COUNTIF(B66:$B$604,B66)=1,1,""))</f>
        <v/>
      </c>
      <c r="Q66" s="157" t="str">
        <f aca="false">IF(AND(O66="recurring",P66=1),COUNTIFS($O$5:O66,"recurring",$P$5:P66,1),"")</f>
        <v/>
      </c>
    </row>
    <row r="67" customFormat="false" ht="15" hidden="false" customHeight="false" outlineLevel="0" collapsed="false">
      <c r="A67" s="110"/>
      <c r="B67" s="108"/>
      <c r="C67" s="142"/>
      <c r="D67" s="108"/>
      <c r="E67" s="183" t="str">
        <f aca="false" t="array" ref="E67:E67">IF(B67="","",IFERROR(INDEX(Keywords!$B$5:$B$165,MAX(ISNUMBER(SEARCH(Keywords!$A$5:$A$165,B67))*(Keywords!$A$5:$A$165&lt;&gt;"")*ROW(Keywords!$A$5:$A$165))-4),""))</f>
        <v/>
      </c>
      <c r="F67" s="150" t="str">
        <f aca="false">IF(B67="","",IF(L67="Transfer","Transfer",IF(L67="Income","Income",IF(D67&lt;&gt;"",D67,IF(E67&lt;&gt;"",E67,"Uncategorized")))))</f>
        <v/>
      </c>
      <c r="G67" s="108"/>
      <c r="H67" s="184" t="str">
        <f aca="false">IF(A67="","",DATE(YEAR(A67),MONTH(A67),1))</f>
        <v/>
      </c>
      <c r="I67" s="185"/>
      <c r="J67" s="144"/>
      <c r="K67" s="159" t="str">
        <f aca="false">IF(C67="","",N(C67)/IF(N67&lt;&gt;"",N67,IF(J67="",1,IFERROR(INDEX(Setup!$C$23:$C$46,MATCH(J67,Setup!$A$23:$A$46,0)),1))))</f>
        <v/>
      </c>
      <c r="L67" s="144"/>
      <c r="M67" s="108"/>
      <c r="N67" s="111"/>
      <c r="O67" s="156" t="str">
        <f aca="false">IF(OR(B67="",L67="Transfer"),"",IF(COUNTIFS($B$5:$B$604,B67,$H$5:$H$604,EDATE(H67,-1),$C$5:$C$604,"&gt;="&amp;C67*0.85,$C$5:$C$604,"&lt;="&amp;C67*1.15)&gt;0,"recurring",""))</f>
        <v/>
      </c>
      <c r="P67" s="157" t="str">
        <f aca="false">IF(B67="","",IF(COUNTIF(B67:$B$604,B67)=1,1,""))</f>
        <v/>
      </c>
      <c r="Q67" s="157" t="str">
        <f aca="false">IF(AND(O67="recurring",P67=1),COUNTIFS($O$5:O67,"recurring",$P$5:P67,1),"")</f>
        <v/>
      </c>
    </row>
    <row r="68" customFormat="false" ht="15" hidden="false" customHeight="false" outlineLevel="0" collapsed="false">
      <c r="A68" s="110"/>
      <c r="B68" s="108"/>
      <c r="C68" s="142"/>
      <c r="D68" s="108"/>
      <c r="E68" s="183" t="str">
        <f aca="false" t="array" ref="E68:E68">IF(B68="","",IFERROR(INDEX(Keywords!$B$5:$B$165,MAX(ISNUMBER(SEARCH(Keywords!$A$5:$A$165,B68))*(Keywords!$A$5:$A$165&lt;&gt;"")*ROW(Keywords!$A$5:$A$165))-4),""))</f>
        <v/>
      </c>
      <c r="F68" s="150" t="str">
        <f aca="false">IF(B68="","",IF(L68="Transfer","Transfer",IF(L68="Income","Income",IF(D68&lt;&gt;"",D68,IF(E68&lt;&gt;"",E68,"Uncategorized")))))</f>
        <v/>
      </c>
      <c r="G68" s="108"/>
      <c r="H68" s="184" t="str">
        <f aca="false">IF(A68="","",DATE(YEAR(A68),MONTH(A68),1))</f>
        <v/>
      </c>
      <c r="I68" s="185"/>
      <c r="J68" s="144"/>
      <c r="K68" s="159" t="str">
        <f aca="false">IF(C68="","",N(C68)/IF(N68&lt;&gt;"",N68,IF(J68="",1,IFERROR(INDEX(Setup!$C$23:$C$46,MATCH(J68,Setup!$A$23:$A$46,0)),1))))</f>
        <v/>
      </c>
      <c r="L68" s="144"/>
      <c r="M68" s="108"/>
      <c r="N68" s="111"/>
      <c r="O68" s="156" t="str">
        <f aca="false">IF(OR(B68="",L68="Transfer"),"",IF(COUNTIFS($B$5:$B$604,B68,$H$5:$H$604,EDATE(H68,-1),$C$5:$C$604,"&gt;="&amp;C68*0.85,$C$5:$C$604,"&lt;="&amp;C68*1.15)&gt;0,"recurring",""))</f>
        <v/>
      </c>
      <c r="P68" s="157" t="str">
        <f aca="false">IF(B68="","",IF(COUNTIF(B68:$B$604,B68)=1,1,""))</f>
        <v/>
      </c>
      <c r="Q68" s="157" t="str">
        <f aca="false">IF(AND(O68="recurring",P68=1),COUNTIFS($O$5:O68,"recurring",$P$5:P68,1),"")</f>
        <v/>
      </c>
    </row>
    <row r="69" customFormat="false" ht="15" hidden="false" customHeight="false" outlineLevel="0" collapsed="false">
      <c r="A69" s="110"/>
      <c r="B69" s="108"/>
      <c r="C69" s="142"/>
      <c r="D69" s="108"/>
      <c r="E69" s="183" t="str">
        <f aca="false" t="array" ref="E69:E69">IF(B69="","",IFERROR(INDEX(Keywords!$B$5:$B$165,MAX(ISNUMBER(SEARCH(Keywords!$A$5:$A$165,B69))*(Keywords!$A$5:$A$165&lt;&gt;"")*ROW(Keywords!$A$5:$A$165))-4),""))</f>
        <v/>
      </c>
      <c r="F69" s="150" t="str">
        <f aca="false">IF(B69="","",IF(L69="Transfer","Transfer",IF(L69="Income","Income",IF(D69&lt;&gt;"",D69,IF(E69&lt;&gt;"",E69,"Uncategorized")))))</f>
        <v/>
      </c>
      <c r="G69" s="108"/>
      <c r="H69" s="184" t="str">
        <f aca="false">IF(A69="","",DATE(YEAR(A69),MONTH(A69),1))</f>
        <v/>
      </c>
      <c r="I69" s="185"/>
      <c r="J69" s="144"/>
      <c r="K69" s="159" t="str">
        <f aca="false">IF(C69="","",N(C69)/IF(N69&lt;&gt;"",N69,IF(J69="",1,IFERROR(INDEX(Setup!$C$23:$C$46,MATCH(J69,Setup!$A$23:$A$46,0)),1))))</f>
        <v/>
      </c>
      <c r="L69" s="144"/>
      <c r="M69" s="108"/>
      <c r="N69" s="111"/>
      <c r="O69" s="156" t="str">
        <f aca="false">IF(OR(B69="",L69="Transfer"),"",IF(COUNTIFS($B$5:$B$604,B69,$H$5:$H$604,EDATE(H69,-1),$C$5:$C$604,"&gt;="&amp;C69*0.85,$C$5:$C$604,"&lt;="&amp;C69*1.15)&gt;0,"recurring",""))</f>
        <v/>
      </c>
      <c r="P69" s="157" t="str">
        <f aca="false">IF(B69="","",IF(COUNTIF(B69:$B$604,B69)=1,1,""))</f>
        <v/>
      </c>
      <c r="Q69" s="157" t="str">
        <f aca="false">IF(AND(O69="recurring",P69=1),COUNTIFS($O$5:O69,"recurring",$P$5:P69,1),"")</f>
        <v/>
      </c>
    </row>
    <row r="70" customFormat="false" ht="15" hidden="false" customHeight="false" outlineLevel="0" collapsed="false">
      <c r="A70" s="110"/>
      <c r="B70" s="108"/>
      <c r="C70" s="142"/>
      <c r="D70" s="108"/>
      <c r="E70" s="183" t="str">
        <f aca="false" t="array" ref="E70:E70">IF(B70="","",IFERROR(INDEX(Keywords!$B$5:$B$165,MAX(ISNUMBER(SEARCH(Keywords!$A$5:$A$165,B70))*(Keywords!$A$5:$A$165&lt;&gt;"")*ROW(Keywords!$A$5:$A$165))-4),""))</f>
        <v/>
      </c>
      <c r="F70" s="150" t="str">
        <f aca="false">IF(B70="","",IF(L70="Transfer","Transfer",IF(L70="Income","Income",IF(D70&lt;&gt;"",D70,IF(E70&lt;&gt;"",E70,"Uncategorized")))))</f>
        <v/>
      </c>
      <c r="G70" s="108"/>
      <c r="H70" s="184" t="str">
        <f aca="false">IF(A70="","",DATE(YEAR(A70),MONTH(A70),1))</f>
        <v/>
      </c>
      <c r="I70" s="185"/>
      <c r="J70" s="144"/>
      <c r="K70" s="159" t="str">
        <f aca="false">IF(C70="","",N(C70)/IF(N70&lt;&gt;"",N70,IF(J70="",1,IFERROR(INDEX(Setup!$C$23:$C$46,MATCH(J70,Setup!$A$23:$A$46,0)),1))))</f>
        <v/>
      </c>
      <c r="L70" s="144"/>
      <c r="M70" s="108"/>
      <c r="N70" s="111"/>
      <c r="O70" s="156" t="str">
        <f aca="false">IF(OR(B70="",L70="Transfer"),"",IF(COUNTIFS($B$5:$B$604,B70,$H$5:$H$604,EDATE(H70,-1),$C$5:$C$604,"&gt;="&amp;C70*0.85,$C$5:$C$604,"&lt;="&amp;C70*1.15)&gt;0,"recurring",""))</f>
        <v/>
      </c>
      <c r="P70" s="157" t="str">
        <f aca="false">IF(B70="","",IF(COUNTIF(B70:$B$604,B70)=1,1,""))</f>
        <v/>
      </c>
      <c r="Q70" s="157" t="str">
        <f aca="false">IF(AND(O70="recurring",P70=1),COUNTIFS($O$5:O70,"recurring",$P$5:P70,1),"")</f>
        <v/>
      </c>
    </row>
    <row r="71" customFormat="false" ht="15" hidden="false" customHeight="false" outlineLevel="0" collapsed="false">
      <c r="A71" s="110"/>
      <c r="B71" s="108"/>
      <c r="C71" s="142"/>
      <c r="D71" s="108"/>
      <c r="E71" s="183" t="str">
        <f aca="false" t="array" ref="E71:E71">IF(B71="","",IFERROR(INDEX(Keywords!$B$5:$B$165,MAX(ISNUMBER(SEARCH(Keywords!$A$5:$A$165,B71))*(Keywords!$A$5:$A$165&lt;&gt;"")*ROW(Keywords!$A$5:$A$165))-4),""))</f>
        <v/>
      </c>
      <c r="F71" s="150" t="str">
        <f aca="false">IF(B71="","",IF(L71="Transfer","Transfer",IF(L71="Income","Income",IF(D71&lt;&gt;"",D71,IF(E71&lt;&gt;"",E71,"Uncategorized")))))</f>
        <v/>
      </c>
      <c r="G71" s="108"/>
      <c r="H71" s="184" t="str">
        <f aca="false">IF(A71="","",DATE(YEAR(A71),MONTH(A71),1))</f>
        <v/>
      </c>
      <c r="I71" s="185"/>
      <c r="J71" s="144"/>
      <c r="K71" s="159" t="str">
        <f aca="false">IF(C71="","",N(C71)/IF(N71&lt;&gt;"",N71,IF(J71="",1,IFERROR(INDEX(Setup!$C$23:$C$46,MATCH(J71,Setup!$A$23:$A$46,0)),1))))</f>
        <v/>
      </c>
      <c r="L71" s="144"/>
      <c r="M71" s="108"/>
      <c r="N71" s="111"/>
      <c r="O71" s="156" t="str">
        <f aca="false">IF(OR(B71="",L71="Transfer"),"",IF(COUNTIFS($B$5:$B$604,B71,$H$5:$H$604,EDATE(H71,-1),$C$5:$C$604,"&gt;="&amp;C71*0.85,$C$5:$C$604,"&lt;="&amp;C71*1.15)&gt;0,"recurring",""))</f>
        <v/>
      </c>
      <c r="P71" s="157" t="str">
        <f aca="false">IF(B71="","",IF(COUNTIF(B71:$B$604,B71)=1,1,""))</f>
        <v/>
      </c>
      <c r="Q71" s="157" t="str">
        <f aca="false">IF(AND(O71="recurring",P71=1),COUNTIFS($O$5:O71,"recurring",$P$5:P71,1),"")</f>
        <v/>
      </c>
    </row>
    <row r="72" customFormat="false" ht="15" hidden="false" customHeight="false" outlineLevel="0" collapsed="false">
      <c r="A72" s="110"/>
      <c r="B72" s="108"/>
      <c r="C72" s="142"/>
      <c r="D72" s="108"/>
      <c r="E72" s="183" t="str">
        <f aca="false" t="array" ref="E72:E72">IF(B72="","",IFERROR(INDEX(Keywords!$B$5:$B$165,MAX(ISNUMBER(SEARCH(Keywords!$A$5:$A$165,B72))*(Keywords!$A$5:$A$165&lt;&gt;"")*ROW(Keywords!$A$5:$A$165))-4),""))</f>
        <v/>
      </c>
      <c r="F72" s="150" t="str">
        <f aca="false">IF(B72="","",IF(L72="Transfer","Transfer",IF(L72="Income","Income",IF(D72&lt;&gt;"",D72,IF(E72&lt;&gt;"",E72,"Uncategorized")))))</f>
        <v/>
      </c>
      <c r="G72" s="108"/>
      <c r="H72" s="184" t="str">
        <f aca="false">IF(A72="","",DATE(YEAR(A72),MONTH(A72),1))</f>
        <v/>
      </c>
      <c r="I72" s="185"/>
      <c r="J72" s="144"/>
      <c r="K72" s="159" t="str">
        <f aca="false">IF(C72="","",N(C72)/IF(N72&lt;&gt;"",N72,IF(J72="",1,IFERROR(INDEX(Setup!$C$23:$C$46,MATCH(J72,Setup!$A$23:$A$46,0)),1))))</f>
        <v/>
      </c>
      <c r="L72" s="144"/>
      <c r="M72" s="108"/>
      <c r="N72" s="111"/>
      <c r="O72" s="156" t="str">
        <f aca="false">IF(OR(B72="",L72="Transfer"),"",IF(COUNTIFS($B$5:$B$604,B72,$H$5:$H$604,EDATE(H72,-1),$C$5:$C$604,"&gt;="&amp;C72*0.85,$C$5:$C$604,"&lt;="&amp;C72*1.15)&gt;0,"recurring",""))</f>
        <v/>
      </c>
      <c r="P72" s="157" t="str">
        <f aca="false">IF(B72="","",IF(COUNTIF(B72:$B$604,B72)=1,1,""))</f>
        <v/>
      </c>
      <c r="Q72" s="157" t="str">
        <f aca="false">IF(AND(O72="recurring",P72=1),COUNTIFS($O$5:O72,"recurring",$P$5:P72,1),"")</f>
        <v/>
      </c>
    </row>
    <row r="73" customFormat="false" ht="15" hidden="false" customHeight="false" outlineLevel="0" collapsed="false">
      <c r="A73" s="110"/>
      <c r="B73" s="108"/>
      <c r="C73" s="142"/>
      <c r="D73" s="108"/>
      <c r="E73" s="183" t="str">
        <f aca="false" t="array" ref="E73:E73">IF(B73="","",IFERROR(INDEX(Keywords!$B$5:$B$165,MAX(ISNUMBER(SEARCH(Keywords!$A$5:$A$165,B73))*(Keywords!$A$5:$A$165&lt;&gt;"")*ROW(Keywords!$A$5:$A$165))-4),""))</f>
        <v/>
      </c>
      <c r="F73" s="150" t="str">
        <f aca="false">IF(B73="","",IF(L73="Transfer","Transfer",IF(L73="Income","Income",IF(D73&lt;&gt;"",D73,IF(E73&lt;&gt;"",E73,"Uncategorized")))))</f>
        <v/>
      </c>
      <c r="G73" s="108"/>
      <c r="H73" s="184" t="str">
        <f aca="false">IF(A73="","",DATE(YEAR(A73),MONTH(A73),1))</f>
        <v/>
      </c>
      <c r="I73" s="185"/>
      <c r="J73" s="144"/>
      <c r="K73" s="159" t="str">
        <f aca="false">IF(C73="","",N(C73)/IF(N73&lt;&gt;"",N73,IF(J73="",1,IFERROR(INDEX(Setup!$C$23:$C$46,MATCH(J73,Setup!$A$23:$A$46,0)),1))))</f>
        <v/>
      </c>
      <c r="L73" s="144"/>
      <c r="M73" s="108"/>
      <c r="N73" s="111"/>
      <c r="O73" s="156" t="str">
        <f aca="false">IF(OR(B73="",L73="Transfer"),"",IF(COUNTIFS($B$5:$B$604,B73,$H$5:$H$604,EDATE(H73,-1),$C$5:$C$604,"&gt;="&amp;C73*0.85,$C$5:$C$604,"&lt;="&amp;C73*1.15)&gt;0,"recurring",""))</f>
        <v/>
      </c>
      <c r="P73" s="157" t="str">
        <f aca="false">IF(B73="","",IF(COUNTIF(B73:$B$604,B73)=1,1,""))</f>
        <v/>
      </c>
      <c r="Q73" s="157" t="str">
        <f aca="false">IF(AND(O73="recurring",P73=1),COUNTIFS($O$5:O73,"recurring",$P$5:P73,1),"")</f>
        <v/>
      </c>
    </row>
    <row r="74" customFormat="false" ht="15" hidden="false" customHeight="false" outlineLevel="0" collapsed="false">
      <c r="A74" s="110"/>
      <c r="B74" s="108"/>
      <c r="C74" s="142"/>
      <c r="D74" s="108"/>
      <c r="E74" s="183" t="str">
        <f aca="false" t="array" ref="E74:E74">IF(B74="","",IFERROR(INDEX(Keywords!$B$5:$B$165,MAX(ISNUMBER(SEARCH(Keywords!$A$5:$A$165,B74))*(Keywords!$A$5:$A$165&lt;&gt;"")*ROW(Keywords!$A$5:$A$165))-4),""))</f>
        <v/>
      </c>
      <c r="F74" s="150" t="str">
        <f aca="false">IF(B74="","",IF(L74="Transfer","Transfer",IF(L74="Income","Income",IF(D74&lt;&gt;"",D74,IF(E74&lt;&gt;"",E74,"Uncategorized")))))</f>
        <v/>
      </c>
      <c r="G74" s="108"/>
      <c r="H74" s="184" t="str">
        <f aca="false">IF(A74="","",DATE(YEAR(A74),MONTH(A74),1))</f>
        <v/>
      </c>
      <c r="I74" s="185"/>
      <c r="J74" s="144"/>
      <c r="K74" s="159" t="str">
        <f aca="false">IF(C74="","",N(C74)/IF(N74&lt;&gt;"",N74,IF(J74="",1,IFERROR(INDEX(Setup!$C$23:$C$46,MATCH(J74,Setup!$A$23:$A$46,0)),1))))</f>
        <v/>
      </c>
      <c r="L74" s="144"/>
      <c r="M74" s="108"/>
      <c r="N74" s="111"/>
      <c r="O74" s="156" t="str">
        <f aca="false">IF(OR(B74="",L74="Transfer"),"",IF(COUNTIFS($B$5:$B$604,B74,$H$5:$H$604,EDATE(H74,-1),$C$5:$C$604,"&gt;="&amp;C74*0.85,$C$5:$C$604,"&lt;="&amp;C74*1.15)&gt;0,"recurring",""))</f>
        <v/>
      </c>
      <c r="P74" s="157" t="str">
        <f aca="false">IF(B74="","",IF(COUNTIF(B74:$B$604,B74)=1,1,""))</f>
        <v/>
      </c>
      <c r="Q74" s="157" t="str">
        <f aca="false">IF(AND(O74="recurring",P74=1),COUNTIFS($O$5:O74,"recurring",$P$5:P74,1),"")</f>
        <v/>
      </c>
    </row>
    <row r="75" customFormat="false" ht="15" hidden="false" customHeight="false" outlineLevel="0" collapsed="false">
      <c r="A75" s="110"/>
      <c r="B75" s="108"/>
      <c r="C75" s="142"/>
      <c r="D75" s="108"/>
      <c r="E75" s="183" t="str">
        <f aca="false" t="array" ref="E75:E75">IF(B75="","",IFERROR(INDEX(Keywords!$B$5:$B$165,MAX(ISNUMBER(SEARCH(Keywords!$A$5:$A$165,B75))*(Keywords!$A$5:$A$165&lt;&gt;"")*ROW(Keywords!$A$5:$A$165))-4),""))</f>
        <v/>
      </c>
      <c r="F75" s="150" t="str">
        <f aca="false">IF(B75="","",IF(L75="Transfer","Transfer",IF(L75="Income","Income",IF(D75&lt;&gt;"",D75,IF(E75&lt;&gt;"",E75,"Uncategorized")))))</f>
        <v/>
      </c>
      <c r="G75" s="108"/>
      <c r="H75" s="184" t="str">
        <f aca="false">IF(A75="","",DATE(YEAR(A75),MONTH(A75),1))</f>
        <v/>
      </c>
      <c r="I75" s="185"/>
      <c r="J75" s="144"/>
      <c r="K75" s="159" t="str">
        <f aca="false">IF(C75="","",N(C75)/IF(N75&lt;&gt;"",N75,IF(J75="",1,IFERROR(INDEX(Setup!$C$23:$C$46,MATCH(J75,Setup!$A$23:$A$46,0)),1))))</f>
        <v/>
      </c>
      <c r="L75" s="144"/>
      <c r="M75" s="108"/>
      <c r="N75" s="111"/>
      <c r="O75" s="156" t="str">
        <f aca="false">IF(OR(B75="",L75="Transfer"),"",IF(COUNTIFS($B$5:$B$604,B75,$H$5:$H$604,EDATE(H75,-1),$C$5:$C$604,"&gt;="&amp;C75*0.85,$C$5:$C$604,"&lt;="&amp;C75*1.15)&gt;0,"recurring",""))</f>
        <v/>
      </c>
      <c r="P75" s="157" t="str">
        <f aca="false">IF(B75="","",IF(COUNTIF(B75:$B$604,B75)=1,1,""))</f>
        <v/>
      </c>
      <c r="Q75" s="157" t="str">
        <f aca="false">IF(AND(O75="recurring",P75=1),COUNTIFS($O$5:O75,"recurring",$P$5:P75,1),"")</f>
        <v/>
      </c>
    </row>
    <row r="76" customFormat="false" ht="15" hidden="false" customHeight="false" outlineLevel="0" collapsed="false">
      <c r="A76" s="110"/>
      <c r="B76" s="108"/>
      <c r="C76" s="142"/>
      <c r="D76" s="108"/>
      <c r="E76" s="183" t="str">
        <f aca="false" t="array" ref="E76:E76">IF(B76="","",IFERROR(INDEX(Keywords!$B$5:$B$165,MAX(ISNUMBER(SEARCH(Keywords!$A$5:$A$165,B76))*(Keywords!$A$5:$A$165&lt;&gt;"")*ROW(Keywords!$A$5:$A$165))-4),""))</f>
        <v/>
      </c>
      <c r="F76" s="150" t="str">
        <f aca="false">IF(B76="","",IF(L76="Transfer","Transfer",IF(L76="Income","Income",IF(D76&lt;&gt;"",D76,IF(E76&lt;&gt;"",E76,"Uncategorized")))))</f>
        <v/>
      </c>
      <c r="G76" s="108"/>
      <c r="H76" s="184" t="str">
        <f aca="false">IF(A76="","",DATE(YEAR(A76),MONTH(A76),1))</f>
        <v/>
      </c>
      <c r="I76" s="185"/>
      <c r="J76" s="144"/>
      <c r="K76" s="159" t="str">
        <f aca="false">IF(C76="","",N(C76)/IF(N76&lt;&gt;"",N76,IF(J76="",1,IFERROR(INDEX(Setup!$C$23:$C$46,MATCH(J76,Setup!$A$23:$A$46,0)),1))))</f>
        <v/>
      </c>
      <c r="L76" s="144"/>
      <c r="M76" s="108"/>
      <c r="N76" s="111"/>
      <c r="O76" s="156" t="str">
        <f aca="false">IF(OR(B76="",L76="Transfer"),"",IF(COUNTIFS($B$5:$B$604,B76,$H$5:$H$604,EDATE(H76,-1),$C$5:$C$604,"&gt;="&amp;C76*0.85,$C$5:$C$604,"&lt;="&amp;C76*1.15)&gt;0,"recurring",""))</f>
        <v/>
      </c>
      <c r="P76" s="157" t="str">
        <f aca="false">IF(B76="","",IF(COUNTIF(B76:$B$604,B76)=1,1,""))</f>
        <v/>
      </c>
      <c r="Q76" s="157" t="str">
        <f aca="false">IF(AND(O76="recurring",P76=1),COUNTIFS($O$5:O76,"recurring",$P$5:P76,1),"")</f>
        <v/>
      </c>
    </row>
    <row r="77" customFormat="false" ht="15" hidden="false" customHeight="false" outlineLevel="0" collapsed="false">
      <c r="A77" s="110"/>
      <c r="B77" s="108"/>
      <c r="C77" s="142"/>
      <c r="D77" s="108"/>
      <c r="E77" s="183" t="str">
        <f aca="false" t="array" ref="E77:E77">IF(B77="","",IFERROR(INDEX(Keywords!$B$5:$B$165,MAX(ISNUMBER(SEARCH(Keywords!$A$5:$A$165,B77))*(Keywords!$A$5:$A$165&lt;&gt;"")*ROW(Keywords!$A$5:$A$165))-4),""))</f>
        <v/>
      </c>
      <c r="F77" s="150" t="str">
        <f aca="false">IF(B77="","",IF(L77="Transfer","Transfer",IF(L77="Income","Income",IF(D77&lt;&gt;"",D77,IF(E77&lt;&gt;"",E77,"Uncategorized")))))</f>
        <v/>
      </c>
      <c r="G77" s="108"/>
      <c r="H77" s="184" t="str">
        <f aca="false">IF(A77="","",DATE(YEAR(A77),MONTH(A77),1))</f>
        <v/>
      </c>
      <c r="I77" s="185"/>
      <c r="J77" s="144"/>
      <c r="K77" s="159" t="str">
        <f aca="false">IF(C77="","",N(C77)/IF(N77&lt;&gt;"",N77,IF(J77="",1,IFERROR(INDEX(Setup!$C$23:$C$46,MATCH(J77,Setup!$A$23:$A$46,0)),1))))</f>
        <v/>
      </c>
      <c r="L77" s="144"/>
      <c r="M77" s="108"/>
      <c r="N77" s="111"/>
      <c r="O77" s="156" t="str">
        <f aca="false">IF(OR(B77="",L77="Transfer"),"",IF(COUNTIFS($B$5:$B$604,B77,$H$5:$H$604,EDATE(H77,-1),$C$5:$C$604,"&gt;="&amp;C77*0.85,$C$5:$C$604,"&lt;="&amp;C77*1.15)&gt;0,"recurring",""))</f>
        <v/>
      </c>
      <c r="P77" s="157" t="str">
        <f aca="false">IF(B77="","",IF(COUNTIF(B77:$B$604,B77)=1,1,""))</f>
        <v/>
      </c>
      <c r="Q77" s="157" t="str">
        <f aca="false">IF(AND(O77="recurring",P77=1),COUNTIFS($O$5:O77,"recurring",$P$5:P77,1),"")</f>
        <v/>
      </c>
    </row>
    <row r="78" customFormat="false" ht="15" hidden="false" customHeight="false" outlineLevel="0" collapsed="false">
      <c r="A78" s="110"/>
      <c r="B78" s="108"/>
      <c r="C78" s="142"/>
      <c r="D78" s="108"/>
      <c r="E78" s="183" t="str">
        <f aca="false" t="array" ref="E78:E78">IF(B78="","",IFERROR(INDEX(Keywords!$B$5:$B$165,MAX(ISNUMBER(SEARCH(Keywords!$A$5:$A$165,B78))*(Keywords!$A$5:$A$165&lt;&gt;"")*ROW(Keywords!$A$5:$A$165))-4),""))</f>
        <v/>
      </c>
      <c r="F78" s="150" t="str">
        <f aca="false">IF(B78="","",IF(L78="Transfer","Transfer",IF(L78="Income","Income",IF(D78&lt;&gt;"",D78,IF(E78&lt;&gt;"",E78,"Uncategorized")))))</f>
        <v/>
      </c>
      <c r="G78" s="108"/>
      <c r="H78" s="184" t="str">
        <f aca="false">IF(A78="","",DATE(YEAR(A78),MONTH(A78),1))</f>
        <v/>
      </c>
      <c r="I78" s="185"/>
      <c r="J78" s="144"/>
      <c r="K78" s="159" t="str">
        <f aca="false">IF(C78="","",N(C78)/IF(N78&lt;&gt;"",N78,IF(J78="",1,IFERROR(INDEX(Setup!$C$23:$C$46,MATCH(J78,Setup!$A$23:$A$46,0)),1))))</f>
        <v/>
      </c>
      <c r="L78" s="144"/>
      <c r="M78" s="108"/>
      <c r="N78" s="111"/>
      <c r="O78" s="156" t="str">
        <f aca="false">IF(OR(B78="",L78="Transfer"),"",IF(COUNTIFS($B$5:$B$604,B78,$H$5:$H$604,EDATE(H78,-1),$C$5:$C$604,"&gt;="&amp;C78*0.85,$C$5:$C$604,"&lt;="&amp;C78*1.15)&gt;0,"recurring",""))</f>
        <v/>
      </c>
      <c r="P78" s="157" t="str">
        <f aca="false">IF(B78="","",IF(COUNTIF(B78:$B$604,B78)=1,1,""))</f>
        <v/>
      </c>
      <c r="Q78" s="157" t="str">
        <f aca="false">IF(AND(O78="recurring",P78=1),COUNTIFS($O$5:O78,"recurring",$P$5:P78,1),"")</f>
        <v/>
      </c>
    </row>
    <row r="79" customFormat="false" ht="15" hidden="false" customHeight="false" outlineLevel="0" collapsed="false">
      <c r="A79" s="110"/>
      <c r="B79" s="108"/>
      <c r="C79" s="142"/>
      <c r="D79" s="108"/>
      <c r="E79" s="183" t="str">
        <f aca="false" t="array" ref="E79:E79">IF(B79="","",IFERROR(INDEX(Keywords!$B$5:$B$165,MAX(ISNUMBER(SEARCH(Keywords!$A$5:$A$165,B79))*(Keywords!$A$5:$A$165&lt;&gt;"")*ROW(Keywords!$A$5:$A$165))-4),""))</f>
        <v/>
      </c>
      <c r="F79" s="150" t="str">
        <f aca="false">IF(B79="","",IF(L79="Transfer","Transfer",IF(L79="Income","Income",IF(D79&lt;&gt;"",D79,IF(E79&lt;&gt;"",E79,"Uncategorized")))))</f>
        <v/>
      </c>
      <c r="G79" s="108"/>
      <c r="H79" s="184" t="str">
        <f aca="false">IF(A79="","",DATE(YEAR(A79),MONTH(A79),1))</f>
        <v/>
      </c>
      <c r="I79" s="185"/>
      <c r="J79" s="144"/>
      <c r="K79" s="159" t="str">
        <f aca="false">IF(C79="","",N(C79)/IF(N79&lt;&gt;"",N79,IF(J79="",1,IFERROR(INDEX(Setup!$C$23:$C$46,MATCH(J79,Setup!$A$23:$A$46,0)),1))))</f>
        <v/>
      </c>
      <c r="L79" s="144"/>
      <c r="M79" s="108"/>
      <c r="N79" s="111"/>
      <c r="O79" s="156" t="str">
        <f aca="false">IF(OR(B79="",L79="Transfer"),"",IF(COUNTIFS($B$5:$B$604,B79,$H$5:$H$604,EDATE(H79,-1),$C$5:$C$604,"&gt;="&amp;C79*0.85,$C$5:$C$604,"&lt;="&amp;C79*1.15)&gt;0,"recurring",""))</f>
        <v/>
      </c>
      <c r="P79" s="157" t="str">
        <f aca="false">IF(B79="","",IF(COUNTIF(B79:$B$604,B79)=1,1,""))</f>
        <v/>
      </c>
      <c r="Q79" s="157" t="str">
        <f aca="false">IF(AND(O79="recurring",P79=1),COUNTIFS($O$5:O79,"recurring",$P$5:P79,1),"")</f>
        <v/>
      </c>
    </row>
    <row r="80" customFormat="false" ht="15" hidden="false" customHeight="false" outlineLevel="0" collapsed="false">
      <c r="A80" s="110"/>
      <c r="B80" s="108"/>
      <c r="C80" s="142"/>
      <c r="D80" s="108"/>
      <c r="E80" s="183" t="str">
        <f aca="false" t="array" ref="E80:E80">IF(B80="","",IFERROR(INDEX(Keywords!$B$5:$B$165,MAX(ISNUMBER(SEARCH(Keywords!$A$5:$A$165,B80))*(Keywords!$A$5:$A$165&lt;&gt;"")*ROW(Keywords!$A$5:$A$165))-4),""))</f>
        <v/>
      </c>
      <c r="F80" s="150" t="str">
        <f aca="false">IF(B80="","",IF(L80="Transfer","Transfer",IF(L80="Income","Income",IF(D80&lt;&gt;"",D80,IF(E80&lt;&gt;"",E80,"Uncategorized")))))</f>
        <v/>
      </c>
      <c r="G80" s="108"/>
      <c r="H80" s="184" t="str">
        <f aca="false">IF(A80="","",DATE(YEAR(A80),MONTH(A80),1))</f>
        <v/>
      </c>
      <c r="I80" s="185"/>
      <c r="J80" s="144"/>
      <c r="K80" s="159" t="str">
        <f aca="false">IF(C80="","",N(C80)/IF(N80&lt;&gt;"",N80,IF(J80="",1,IFERROR(INDEX(Setup!$C$23:$C$46,MATCH(J80,Setup!$A$23:$A$46,0)),1))))</f>
        <v/>
      </c>
      <c r="L80" s="144"/>
      <c r="M80" s="108"/>
      <c r="N80" s="111"/>
      <c r="O80" s="156" t="str">
        <f aca="false">IF(OR(B80="",L80="Transfer"),"",IF(COUNTIFS($B$5:$B$604,B80,$H$5:$H$604,EDATE(H80,-1),$C$5:$C$604,"&gt;="&amp;C80*0.85,$C$5:$C$604,"&lt;="&amp;C80*1.15)&gt;0,"recurring",""))</f>
        <v/>
      </c>
      <c r="P80" s="157" t="str">
        <f aca="false">IF(B80="","",IF(COUNTIF(B80:$B$604,B80)=1,1,""))</f>
        <v/>
      </c>
      <c r="Q80" s="157" t="str">
        <f aca="false">IF(AND(O80="recurring",P80=1),COUNTIFS($O$5:O80,"recurring",$P$5:P80,1),"")</f>
        <v/>
      </c>
    </row>
    <row r="81" customFormat="false" ht="15" hidden="false" customHeight="false" outlineLevel="0" collapsed="false">
      <c r="A81" s="110"/>
      <c r="B81" s="108"/>
      <c r="C81" s="142"/>
      <c r="D81" s="108"/>
      <c r="E81" s="183" t="str">
        <f aca="false" t="array" ref="E81:E81">IF(B81="","",IFERROR(INDEX(Keywords!$B$5:$B$165,MAX(ISNUMBER(SEARCH(Keywords!$A$5:$A$165,B81))*(Keywords!$A$5:$A$165&lt;&gt;"")*ROW(Keywords!$A$5:$A$165))-4),""))</f>
        <v/>
      </c>
      <c r="F81" s="150" t="str">
        <f aca="false">IF(B81="","",IF(L81="Transfer","Transfer",IF(L81="Income","Income",IF(D81&lt;&gt;"",D81,IF(E81&lt;&gt;"",E81,"Uncategorized")))))</f>
        <v/>
      </c>
      <c r="G81" s="108"/>
      <c r="H81" s="184" t="str">
        <f aca="false">IF(A81="","",DATE(YEAR(A81),MONTH(A81),1))</f>
        <v/>
      </c>
      <c r="I81" s="185"/>
      <c r="J81" s="144"/>
      <c r="K81" s="159" t="str">
        <f aca="false">IF(C81="","",N(C81)/IF(N81&lt;&gt;"",N81,IF(J81="",1,IFERROR(INDEX(Setup!$C$23:$C$46,MATCH(J81,Setup!$A$23:$A$46,0)),1))))</f>
        <v/>
      </c>
      <c r="L81" s="144"/>
      <c r="M81" s="108"/>
      <c r="N81" s="111"/>
      <c r="O81" s="156" t="str">
        <f aca="false">IF(OR(B81="",L81="Transfer"),"",IF(COUNTIFS($B$5:$B$604,B81,$H$5:$H$604,EDATE(H81,-1),$C$5:$C$604,"&gt;="&amp;C81*0.85,$C$5:$C$604,"&lt;="&amp;C81*1.15)&gt;0,"recurring",""))</f>
        <v/>
      </c>
      <c r="P81" s="157" t="str">
        <f aca="false">IF(B81="","",IF(COUNTIF(B81:$B$604,B81)=1,1,""))</f>
        <v/>
      </c>
      <c r="Q81" s="157" t="str">
        <f aca="false">IF(AND(O81="recurring",P81=1),COUNTIFS($O$5:O81,"recurring",$P$5:P81,1),"")</f>
        <v/>
      </c>
    </row>
    <row r="82" customFormat="false" ht="15" hidden="false" customHeight="false" outlineLevel="0" collapsed="false">
      <c r="A82" s="110"/>
      <c r="B82" s="108"/>
      <c r="C82" s="142"/>
      <c r="D82" s="108"/>
      <c r="E82" s="183" t="str">
        <f aca="false" t="array" ref="E82:E82">IF(B82="","",IFERROR(INDEX(Keywords!$B$5:$B$165,MAX(ISNUMBER(SEARCH(Keywords!$A$5:$A$165,B82))*(Keywords!$A$5:$A$165&lt;&gt;"")*ROW(Keywords!$A$5:$A$165))-4),""))</f>
        <v/>
      </c>
      <c r="F82" s="150" t="str">
        <f aca="false">IF(B82="","",IF(L82="Transfer","Transfer",IF(L82="Income","Income",IF(D82&lt;&gt;"",D82,IF(E82&lt;&gt;"",E82,"Uncategorized")))))</f>
        <v/>
      </c>
      <c r="G82" s="108"/>
      <c r="H82" s="184" t="str">
        <f aca="false">IF(A82="","",DATE(YEAR(A82),MONTH(A82),1))</f>
        <v/>
      </c>
      <c r="I82" s="185"/>
      <c r="J82" s="144"/>
      <c r="K82" s="159" t="str">
        <f aca="false">IF(C82="","",N(C82)/IF(N82&lt;&gt;"",N82,IF(J82="",1,IFERROR(INDEX(Setup!$C$23:$C$46,MATCH(J82,Setup!$A$23:$A$46,0)),1))))</f>
        <v/>
      </c>
      <c r="L82" s="144"/>
      <c r="M82" s="108"/>
      <c r="N82" s="111"/>
      <c r="O82" s="156" t="str">
        <f aca="false">IF(OR(B82="",L82="Transfer"),"",IF(COUNTIFS($B$5:$B$604,B82,$H$5:$H$604,EDATE(H82,-1),$C$5:$C$604,"&gt;="&amp;C82*0.85,$C$5:$C$604,"&lt;="&amp;C82*1.15)&gt;0,"recurring",""))</f>
        <v/>
      </c>
      <c r="P82" s="157" t="str">
        <f aca="false">IF(B82="","",IF(COUNTIF(B82:$B$604,B82)=1,1,""))</f>
        <v/>
      </c>
      <c r="Q82" s="157" t="str">
        <f aca="false">IF(AND(O82="recurring",P82=1),COUNTIFS($O$5:O82,"recurring",$P$5:P82,1),"")</f>
        <v/>
      </c>
    </row>
    <row r="83" customFormat="false" ht="15" hidden="false" customHeight="false" outlineLevel="0" collapsed="false">
      <c r="A83" s="110"/>
      <c r="B83" s="108"/>
      <c r="C83" s="142"/>
      <c r="D83" s="108"/>
      <c r="E83" s="183" t="str">
        <f aca="false" t="array" ref="E83:E83">IF(B83="","",IFERROR(INDEX(Keywords!$B$5:$B$165,MAX(ISNUMBER(SEARCH(Keywords!$A$5:$A$165,B83))*(Keywords!$A$5:$A$165&lt;&gt;"")*ROW(Keywords!$A$5:$A$165))-4),""))</f>
        <v/>
      </c>
      <c r="F83" s="150" t="str">
        <f aca="false">IF(B83="","",IF(L83="Transfer","Transfer",IF(L83="Income","Income",IF(D83&lt;&gt;"",D83,IF(E83&lt;&gt;"",E83,"Uncategorized")))))</f>
        <v/>
      </c>
      <c r="G83" s="108"/>
      <c r="H83" s="184" t="str">
        <f aca="false">IF(A83="","",DATE(YEAR(A83),MONTH(A83),1))</f>
        <v/>
      </c>
      <c r="I83" s="185"/>
      <c r="J83" s="144"/>
      <c r="K83" s="159" t="str">
        <f aca="false">IF(C83="","",N(C83)/IF(N83&lt;&gt;"",N83,IF(J83="",1,IFERROR(INDEX(Setup!$C$23:$C$46,MATCH(J83,Setup!$A$23:$A$46,0)),1))))</f>
        <v/>
      </c>
      <c r="L83" s="144"/>
      <c r="M83" s="108"/>
      <c r="N83" s="111"/>
      <c r="O83" s="156" t="str">
        <f aca="false">IF(OR(B83="",L83="Transfer"),"",IF(COUNTIFS($B$5:$B$604,B83,$H$5:$H$604,EDATE(H83,-1),$C$5:$C$604,"&gt;="&amp;C83*0.85,$C$5:$C$604,"&lt;="&amp;C83*1.15)&gt;0,"recurring",""))</f>
        <v/>
      </c>
      <c r="P83" s="157" t="str">
        <f aca="false">IF(B83="","",IF(COUNTIF(B83:$B$604,B83)=1,1,""))</f>
        <v/>
      </c>
      <c r="Q83" s="157" t="str">
        <f aca="false">IF(AND(O83="recurring",P83=1),COUNTIFS($O$5:O83,"recurring",$P$5:P83,1),"")</f>
        <v/>
      </c>
    </row>
    <row r="84" customFormat="false" ht="15" hidden="false" customHeight="false" outlineLevel="0" collapsed="false">
      <c r="A84" s="110"/>
      <c r="B84" s="108"/>
      <c r="C84" s="142"/>
      <c r="D84" s="108"/>
      <c r="E84" s="183" t="str">
        <f aca="false" t="array" ref="E84:E84">IF(B84="","",IFERROR(INDEX(Keywords!$B$5:$B$165,MAX(ISNUMBER(SEARCH(Keywords!$A$5:$A$165,B84))*(Keywords!$A$5:$A$165&lt;&gt;"")*ROW(Keywords!$A$5:$A$165))-4),""))</f>
        <v/>
      </c>
      <c r="F84" s="150" t="str">
        <f aca="false">IF(B84="","",IF(L84="Transfer","Transfer",IF(L84="Income","Income",IF(D84&lt;&gt;"",D84,IF(E84&lt;&gt;"",E84,"Uncategorized")))))</f>
        <v/>
      </c>
      <c r="G84" s="108"/>
      <c r="H84" s="184" t="str">
        <f aca="false">IF(A84="","",DATE(YEAR(A84),MONTH(A84),1))</f>
        <v/>
      </c>
      <c r="I84" s="185"/>
      <c r="J84" s="144"/>
      <c r="K84" s="159" t="str">
        <f aca="false">IF(C84="","",N(C84)/IF(N84&lt;&gt;"",N84,IF(J84="",1,IFERROR(INDEX(Setup!$C$23:$C$46,MATCH(J84,Setup!$A$23:$A$46,0)),1))))</f>
        <v/>
      </c>
      <c r="L84" s="144"/>
      <c r="M84" s="108"/>
      <c r="N84" s="111"/>
      <c r="O84" s="156" t="str">
        <f aca="false">IF(OR(B84="",L84="Transfer"),"",IF(COUNTIFS($B$5:$B$604,B84,$H$5:$H$604,EDATE(H84,-1),$C$5:$C$604,"&gt;="&amp;C84*0.85,$C$5:$C$604,"&lt;="&amp;C84*1.15)&gt;0,"recurring",""))</f>
        <v/>
      </c>
      <c r="P84" s="157" t="str">
        <f aca="false">IF(B84="","",IF(COUNTIF(B84:$B$604,B84)=1,1,""))</f>
        <v/>
      </c>
      <c r="Q84" s="157" t="str">
        <f aca="false">IF(AND(O84="recurring",P84=1),COUNTIFS($O$5:O84,"recurring",$P$5:P84,1),"")</f>
        <v/>
      </c>
    </row>
    <row r="85" customFormat="false" ht="15" hidden="false" customHeight="false" outlineLevel="0" collapsed="false">
      <c r="A85" s="110"/>
      <c r="B85" s="108"/>
      <c r="C85" s="142"/>
      <c r="D85" s="108"/>
      <c r="E85" s="183" t="str">
        <f aca="false" t="array" ref="E85:E85">IF(B85="","",IFERROR(INDEX(Keywords!$B$5:$B$165,MAX(ISNUMBER(SEARCH(Keywords!$A$5:$A$165,B85))*(Keywords!$A$5:$A$165&lt;&gt;"")*ROW(Keywords!$A$5:$A$165))-4),""))</f>
        <v/>
      </c>
      <c r="F85" s="150" t="str">
        <f aca="false">IF(B85="","",IF(L85="Transfer","Transfer",IF(L85="Income","Income",IF(D85&lt;&gt;"",D85,IF(E85&lt;&gt;"",E85,"Uncategorized")))))</f>
        <v/>
      </c>
      <c r="G85" s="108"/>
      <c r="H85" s="184" t="str">
        <f aca="false">IF(A85="","",DATE(YEAR(A85),MONTH(A85),1))</f>
        <v/>
      </c>
      <c r="I85" s="185"/>
      <c r="J85" s="144"/>
      <c r="K85" s="159" t="str">
        <f aca="false">IF(C85="","",N(C85)/IF(N85&lt;&gt;"",N85,IF(J85="",1,IFERROR(INDEX(Setup!$C$23:$C$46,MATCH(J85,Setup!$A$23:$A$46,0)),1))))</f>
        <v/>
      </c>
      <c r="L85" s="144"/>
      <c r="M85" s="108"/>
      <c r="N85" s="111"/>
      <c r="O85" s="156" t="str">
        <f aca="false">IF(OR(B85="",L85="Transfer"),"",IF(COUNTIFS($B$5:$B$604,B85,$H$5:$H$604,EDATE(H85,-1),$C$5:$C$604,"&gt;="&amp;C85*0.85,$C$5:$C$604,"&lt;="&amp;C85*1.15)&gt;0,"recurring",""))</f>
        <v/>
      </c>
      <c r="P85" s="157" t="str">
        <f aca="false">IF(B85="","",IF(COUNTIF(B85:$B$604,B85)=1,1,""))</f>
        <v/>
      </c>
      <c r="Q85" s="157" t="str">
        <f aca="false">IF(AND(O85="recurring",P85=1),COUNTIFS($O$5:O85,"recurring",$P$5:P85,1),"")</f>
        <v/>
      </c>
    </row>
    <row r="86" customFormat="false" ht="15" hidden="false" customHeight="false" outlineLevel="0" collapsed="false">
      <c r="A86" s="110"/>
      <c r="B86" s="108"/>
      <c r="C86" s="142"/>
      <c r="D86" s="108"/>
      <c r="E86" s="183" t="str">
        <f aca="false" t="array" ref="E86:E86">IF(B86="","",IFERROR(INDEX(Keywords!$B$5:$B$165,MAX(ISNUMBER(SEARCH(Keywords!$A$5:$A$165,B86))*(Keywords!$A$5:$A$165&lt;&gt;"")*ROW(Keywords!$A$5:$A$165))-4),""))</f>
        <v/>
      </c>
      <c r="F86" s="150" t="str">
        <f aca="false">IF(B86="","",IF(L86="Transfer","Transfer",IF(L86="Income","Income",IF(D86&lt;&gt;"",D86,IF(E86&lt;&gt;"",E86,"Uncategorized")))))</f>
        <v/>
      </c>
      <c r="G86" s="108"/>
      <c r="H86" s="184" t="str">
        <f aca="false">IF(A86="","",DATE(YEAR(A86),MONTH(A86),1))</f>
        <v/>
      </c>
      <c r="I86" s="185"/>
      <c r="J86" s="144"/>
      <c r="K86" s="159" t="str">
        <f aca="false">IF(C86="","",N(C86)/IF(N86&lt;&gt;"",N86,IF(J86="",1,IFERROR(INDEX(Setup!$C$23:$C$46,MATCH(J86,Setup!$A$23:$A$46,0)),1))))</f>
        <v/>
      </c>
      <c r="L86" s="144"/>
      <c r="M86" s="108"/>
      <c r="N86" s="111"/>
      <c r="O86" s="156" t="str">
        <f aca="false">IF(OR(B86="",L86="Transfer"),"",IF(COUNTIFS($B$5:$B$604,B86,$H$5:$H$604,EDATE(H86,-1),$C$5:$C$604,"&gt;="&amp;C86*0.85,$C$5:$C$604,"&lt;="&amp;C86*1.15)&gt;0,"recurring",""))</f>
        <v/>
      </c>
      <c r="P86" s="157" t="str">
        <f aca="false">IF(B86="","",IF(COUNTIF(B86:$B$604,B86)=1,1,""))</f>
        <v/>
      </c>
      <c r="Q86" s="157" t="str">
        <f aca="false">IF(AND(O86="recurring",P86=1),COUNTIFS($O$5:O86,"recurring",$P$5:P86,1),"")</f>
        <v/>
      </c>
    </row>
    <row r="87" customFormat="false" ht="15" hidden="false" customHeight="false" outlineLevel="0" collapsed="false">
      <c r="A87" s="110"/>
      <c r="B87" s="108"/>
      <c r="C87" s="142"/>
      <c r="D87" s="108"/>
      <c r="E87" s="183" t="str">
        <f aca="false" t="array" ref="E87:E87">IF(B87="","",IFERROR(INDEX(Keywords!$B$5:$B$165,MAX(ISNUMBER(SEARCH(Keywords!$A$5:$A$165,B87))*(Keywords!$A$5:$A$165&lt;&gt;"")*ROW(Keywords!$A$5:$A$165))-4),""))</f>
        <v/>
      </c>
      <c r="F87" s="150" t="str">
        <f aca="false">IF(B87="","",IF(L87="Transfer","Transfer",IF(L87="Income","Income",IF(D87&lt;&gt;"",D87,IF(E87&lt;&gt;"",E87,"Uncategorized")))))</f>
        <v/>
      </c>
      <c r="G87" s="108"/>
      <c r="H87" s="184" t="str">
        <f aca="false">IF(A87="","",DATE(YEAR(A87),MONTH(A87),1))</f>
        <v/>
      </c>
      <c r="I87" s="185"/>
      <c r="J87" s="144"/>
      <c r="K87" s="159" t="str">
        <f aca="false">IF(C87="","",N(C87)/IF(N87&lt;&gt;"",N87,IF(J87="",1,IFERROR(INDEX(Setup!$C$23:$C$46,MATCH(J87,Setup!$A$23:$A$46,0)),1))))</f>
        <v/>
      </c>
      <c r="L87" s="144"/>
      <c r="M87" s="108"/>
      <c r="N87" s="111"/>
      <c r="O87" s="156" t="str">
        <f aca="false">IF(OR(B87="",L87="Transfer"),"",IF(COUNTIFS($B$5:$B$604,B87,$H$5:$H$604,EDATE(H87,-1),$C$5:$C$604,"&gt;="&amp;C87*0.85,$C$5:$C$604,"&lt;="&amp;C87*1.15)&gt;0,"recurring",""))</f>
        <v/>
      </c>
      <c r="P87" s="157" t="str">
        <f aca="false">IF(B87="","",IF(COUNTIF(B87:$B$604,B87)=1,1,""))</f>
        <v/>
      </c>
      <c r="Q87" s="157" t="str">
        <f aca="false">IF(AND(O87="recurring",P87=1),COUNTIFS($O$5:O87,"recurring",$P$5:P87,1),"")</f>
        <v/>
      </c>
    </row>
    <row r="88" customFormat="false" ht="15" hidden="false" customHeight="false" outlineLevel="0" collapsed="false">
      <c r="A88" s="110"/>
      <c r="B88" s="108"/>
      <c r="C88" s="142"/>
      <c r="D88" s="108"/>
      <c r="E88" s="183" t="str">
        <f aca="false" t="array" ref="E88:E88">IF(B88="","",IFERROR(INDEX(Keywords!$B$5:$B$165,MAX(ISNUMBER(SEARCH(Keywords!$A$5:$A$165,B88))*(Keywords!$A$5:$A$165&lt;&gt;"")*ROW(Keywords!$A$5:$A$165))-4),""))</f>
        <v/>
      </c>
      <c r="F88" s="150" t="str">
        <f aca="false">IF(B88="","",IF(L88="Transfer","Transfer",IF(L88="Income","Income",IF(D88&lt;&gt;"",D88,IF(E88&lt;&gt;"",E88,"Uncategorized")))))</f>
        <v/>
      </c>
      <c r="G88" s="108"/>
      <c r="H88" s="184" t="str">
        <f aca="false">IF(A88="","",DATE(YEAR(A88),MONTH(A88),1))</f>
        <v/>
      </c>
      <c r="I88" s="185"/>
      <c r="J88" s="144"/>
      <c r="K88" s="159" t="str">
        <f aca="false">IF(C88="","",N(C88)/IF(N88&lt;&gt;"",N88,IF(J88="",1,IFERROR(INDEX(Setup!$C$23:$C$46,MATCH(J88,Setup!$A$23:$A$46,0)),1))))</f>
        <v/>
      </c>
      <c r="L88" s="144"/>
      <c r="M88" s="108"/>
      <c r="N88" s="111"/>
      <c r="O88" s="156" t="str">
        <f aca="false">IF(OR(B88="",L88="Transfer"),"",IF(COUNTIFS($B$5:$B$604,B88,$H$5:$H$604,EDATE(H88,-1),$C$5:$C$604,"&gt;="&amp;C88*0.85,$C$5:$C$604,"&lt;="&amp;C88*1.15)&gt;0,"recurring",""))</f>
        <v/>
      </c>
      <c r="P88" s="157" t="str">
        <f aca="false">IF(B88="","",IF(COUNTIF(B88:$B$604,B88)=1,1,""))</f>
        <v/>
      </c>
      <c r="Q88" s="157" t="str">
        <f aca="false">IF(AND(O88="recurring",P88=1),COUNTIFS($O$5:O88,"recurring",$P$5:P88,1),"")</f>
        <v/>
      </c>
    </row>
    <row r="89" customFormat="false" ht="15" hidden="false" customHeight="false" outlineLevel="0" collapsed="false">
      <c r="A89" s="110"/>
      <c r="B89" s="108"/>
      <c r="C89" s="142"/>
      <c r="D89" s="108"/>
      <c r="E89" s="183" t="str">
        <f aca="false" t="array" ref="E89:E89">IF(B89="","",IFERROR(INDEX(Keywords!$B$5:$B$165,MAX(ISNUMBER(SEARCH(Keywords!$A$5:$A$165,B89))*(Keywords!$A$5:$A$165&lt;&gt;"")*ROW(Keywords!$A$5:$A$165))-4),""))</f>
        <v/>
      </c>
      <c r="F89" s="150" t="str">
        <f aca="false">IF(B89="","",IF(L89="Transfer","Transfer",IF(L89="Income","Income",IF(D89&lt;&gt;"",D89,IF(E89&lt;&gt;"",E89,"Uncategorized")))))</f>
        <v/>
      </c>
      <c r="G89" s="108"/>
      <c r="H89" s="184" t="str">
        <f aca="false">IF(A89="","",DATE(YEAR(A89),MONTH(A89),1))</f>
        <v/>
      </c>
      <c r="I89" s="185"/>
      <c r="J89" s="144"/>
      <c r="K89" s="159" t="str">
        <f aca="false">IF(C89="","",N(C89)/IF(N89&lt;&gt;"",N89,IF(J89="",1,IFERROR(INDEX(Setup!$C$23:$C$46,MATCH(J89,Setup!$A$23:$A$46,0)),1))))</f>
        <v/>
      </c>
      <c r="L89" s="144"/>
      <c r="M89" s="108"/>
      <c r="N89" s="111"/>
      <c r="O89" s="156" t="str">
        <f aca="false">IF(OR(B89="",L89="Transfer"),"",IF(COUNTIFS($B$5:$B$604,B89,$H$5:$H$604,EDATE(H89,-1),$C$5:$C$604,"&gt;="&amp;C89*0.85,$C$5:$C$604,"&lt;="&amp;C89*1.15)&gt;0,"recurring",""))</f>
        <v/>
      </c>
      <c r="P89" s="157" t="str">
        <f aca="false">IF(B89="","",IF(COUNTIF(B89:$B$604,B89)=1,1,""))</f>
        <v/>
      </c>
      <c r="Q89" s="157" t="str">
        <f aca="false">IF(AND(O89="recurring",P89=1),COUNTIFS($O$5:O89,"recurring",$P$5:P89,1),"")</f>
        <v/>
      </c>
    </row>
    <row r="90" customFormat="false" ht="15" hidden="false" customHeight="false" outlineLevel="0" collapsed="false">
      <c r="A90" s="110"/>
      <c r="B90" s="108"/>
      <c r="C90" s="142"/>
      <c r="D90" s="108"/>
      <c r="E90" s="183" t="str">
        <f aca="false" t="array" ref="E90:E90">IF(B90="","",IFERROR(INDEX(Keywords!$B$5:$B$165,MAX(ISNUMBER(SEARCH(Keywords!$A$5:$A$165,B90))*(Keywords!$A$5:$A$165&lt;&gt;"")*ROW(Keywords!$A$5:$A$165))-4),""))</f>
        <v/>
      </c>
      <c r="F90" s="150" t="str">
        <f aca="false">IF(B90="","",IF(L90="Transfer","Transfer",IF(L90="Income","Income",IF(D90&lt;&gt;"",D90,IF(E90&lt;&gt;"",E90,"Uncategorized")))))</f>
        <v/>
      </c>
      <c r="G90" s="108"/>
      <c r="H90" s="184" t="str">
        <f aca="false">IF(A90="","",DATE(YEAR(A90),MONTH(A90),1))</f>
        <v/>
      </c>
      <c r="I90" s="185"/>
      <c r="J90" s="144"/>
      <c r="K90" s="159" t="str">
        <f aca="false">IF(C90="","",N(C90)/IF(N90&lt;&gt;"",N90,IF(J90="",1,IFERROR(INDEX(Setup!$C$23:$C$46,MATCH(J90,Setup!$A$23:$A$46,0)),1))))</f>
        <v/>
      </c>
      <c r="L90" s="144"/>
      <c r="M90" s="108"/>
      <c r="N90" s="111"/>
      <c r="O90" s="156" t="str">
        <f aca="false">IF(OR(B90="",L90="Transfer"),"",IF(COUNTIFS($B$5:$B$604,B90,$H$5:$H$604,EDATE(H90,-1),$C$5:$C$604,"&gt;="&amp;C90*0.85,$C$5:$C$604,"&lt;="&amp;C90*1.15)&gt;0,"recurring",""))</f>
        <v/>
      </c>
      <c r="P90" s="157" t="str">
        <f aca="false">IF(B90="","",IF(COUNTIF(B90:$B$604,B90)=1,1,""))</f>
        <v/>
      </c>
      <c r="Q90" s="157" t="str">
        <f aca="false">IF(AND(O90="recurring",P90=1),COUNTIFS($O$5:O90,"recurring",$P$5:P90,1),"")</f>
        <v/>
      </c>
    </row>
    <row r="91" customFormat="false" ht="15" hidden="false" customHeight="false" outlineLevel="0" collapsed="false">
      <c r="A91" s="110"/>
      <c r="B91" s="108"/>
      <c r="C91" s="142"/>
      <c r="D91" s="108"/>
      <c r="E91" s="183" t="str">
        <f aca="false" t="array" ref="E91:E91">IF(B91="","",IFERROR(INDEX(Keywords!$B$5:$B$165,MAX(ISNUMBER(SEARCH(Keywords!$A$5:$A$165,B91))*(Keywords!$A$5:$A$165&lt;&gt;"")*ROW(Keywords!$A$5:$A$165))-4),""))</f>
        <v/>
      </c>
      <c r="F91" s="150" t="str">
        <f aca="false">IF(B91="","",IF(L91="Transfer","Transfer",IF(L91="Income","Income",IF(D91&lt;&gt;"",D91,IF(E91&lt;&gt;"",E91,"Uncategorized")))))</f>
        <v/>
      </c>
      <c r="G91" s="108"/>
      <c r="H91" s="184" t="str">
        <f aca="false">IF(A91="","",DATE(YEAR(A91),MONTH(A91),1))</f>
        <v/>
      </c>
      <c r="I91" s="185"/>
      <c r="J91" s="144"/>
      <c r="K91" s="159" t="str">
        <f aca="false">IF(C91="","",N(C91)/IF(N91&lt;&gt;"",N91,IF(J91="",1,IFERROR(INDEX(Setup!$C$23:$C$46,MATCH(J91,Setup!$A$23:$A$46,0)),1))))</f>
        <v/>
      </c>
      <c r="L91" s="144"/>
      <c r="M91" s="108"/>
      <c r="N91" s="111"/>
      <c r="O91" s="156" t="str">
        <f aca="false">IF(OR(B91="",L91="Transfer"),"",IF(COUNTIFS($B$5:$B$604,B91,$H$5:$H$604,EDATE(H91,-1),$C$5:$C$604,"&gt;="&amp;C91*0.85,$C$5:$C$604,"&lt;="&amp;C91*1.15)&gt;0,"recurring",""))</f>
        <v/>
      </c>
      <c r="P91" s="157" t="str">
        <f aca="false">IF(B91="","",IF(COUNTIF(B91:$B$604,B91)=1,1,""))</f>
        <v/>
      </c>
      <c r="Q91" s="157" t="str">
        <f aca="false">IF(AND(O91="recurring",P91=1),COUNTIFS($O$5:O91,"recurring",$P$5:P91,1),"")</f>
        <v/>
      </c>
    </row>
    <row r="92" customFormat="false" ht="15" hidden="false" customHeight="false" outlineLevel="0" collapsed="false">
      <c r="A92" s="110"/>
      <c r="B92" s="108"/>
      <c r="C92" s="142"/>
      <c r="D92" s="108"/>
      <c r="E92" s="183" t="str">
        <f aca="false" t="array" ref="E92:E92">IF(B92="","",IFERROR(INDEX(Keywords!$B$5:$B$165,MAX(ISNUMBER(SEARCH(Keywords!$A$5:$A$165,B92))*(Keywords!$A$5:$A$165&lt;&gt;"")*ROW(Keywords!$A$5:$A$165))-4),""))</f>
        <v/>
      </c>
      <c r="F92" s="150" t="str">
        <f aca="false">IF(B92="","",IF(L92="Transfer","Transfer",IF(L92="Income","Income",IF(D92&lt;&gt;"",D92,IF(E92&lt;&gt;"",E92,"Uncategorized")))))</f>
        <v/>
      </c>
      <c r="G92" s="108"/>
      <c r="H92" s="184" t="str">
        <f aca="false">IF(A92="","",DATE(YEAR(A92),MONTH(A92),1))</f>
        <v/>
      </c>
      <c r="I92" s="185"/>
      <c r="J92" s="144"/>
      <c r="K92" s="159" t="str">
        <f aca="false">IF(C92="","",N(C92)/IF(N92&lt;&gt;"",N92,IF(J92="",1,IFERROR(INDEX(Setup!$C$23:$C$46,MATCH(J92,Setup!$A$23:$A$46,0)),1))))</f>
        <v/>
      </c>
      <c r="L92" s="144"/>
      <c r="M92" s="108"/>
      <c r="N92" s="111"/>
      <c r="O92" s="156" t="str">
        <f aca="false">IF(OR(B92="",L92="Transfer"),"",IF(COUNTIFS($B$5:$B$604,B92,$H$5:$H$604,EDATE(H92,-1),$C$5:$C$604,"&gt;="&amp;C92*0.85,$C$5:$C$604,"&lt;="&amp;C92*1.15)&gt;0,"recurring",""))</f>
        <v/>
      </c>
      <c r="P92" s="157" t="str">
        <f aca="false">IF(B92="","",IF(COUNTIF(B92:$B$604,B92)=1,1,""))</f>
        <v/>
      </c>
      <c r="Q92" s="157" t="str">
        <f aca="false">IF(AND(O92="recurring",P92=1),COUNTIFS($O$5:O92,"recurring",$P$5:P92,1),"")</f>
        <v/>
      </c>
    </row>
    <row r="93" customFormat="false" ht="15" hidden="false" customHeight="false" outlineLevel="0" collapsed="false">
      <c r="A93" s="110"/>
      <c r="B93" s="108"/>
      <c r="C93" s="142"/>
      <c r="D93" s="108"/>
      <c r="E93" s="183" t="str">
        <f aca="false" t="array" ref="E93:E93">IF(B93="","",IFERROR(INDEX(Keywords!$B$5:$B$165,MAX(ISNUMBER(SEARCH(Keywords!$A$5:$A$165,B93))*(Keywords!$A$5:$A$165&lt;&gt;"")*ROW(Keywords!$A$5:$A$165))-4),""))</f>
        <v/>
      </c>
      <c r="F93" s="150" t="str">
        <f aca="false">IF(B93="","",IF(L93="Transfer","Transfer",IF(L93="Income","Income",IF(D93&lt;&gt;"",D93,IF(E93&lt;&gt;"",E93,"Uncategorized")))))</f>
        <v/>
      </c>
      <c r="G93" s="108"/>
      <c r="H93" s="184" t="str">
        <f aca="false">IF(A93="","",DATE(YEAR(A93),MONTH(A93),1))</f>
        <v/>
      </c>
      <c r="I93" s="185"/>
      <c r="J93" s="144"/>
      <c r="K93" s="159" t="str">
        <f aca="false">IF(C93="","",N(C93)/IF(N93&lt;&gt;"",N93,IF(J93="",1,IFERROR(INDEX(Setup!$C$23:$C$46,MATCH(J93,Setup!$A$23:$A$46,0)),1))))</f>
        <v/>
      </c>
      <c r="L93" s="144"/>
      <c r="M93" s="108"/>
      <c r="N93" s="111"/>
      <c r="O93" s="156" t="str">
        <f aca="false">IF(OR(B93="",L93="Transfer"),"",IF(COUNTIFS($B$5:$B$604,B93,$H$5:$H$604,EDATE(H93,-1),$C$5:$C$604,"&gt;="&amp;C93*0.85,$C$5:$C$604,"&lt;="&amp;C93*1.15)&gt;0,"recurring",""))</f>
        <v/>
      </c>
      <c r="P93" s="157" t="str">
        <f aca="false">IF(B93="","",IF(COUNTIF(B93:$B$604,B93)=1,1,""))</f>
        <v/>
      </c>
      <c r="Q93" s="157" t="str">
        <f aca="false">IF(AND(O93="recurring",P93=1),COUNTIFS($O$5:O93,"recurring",$P$5:P93,1),"")</f>
        <v/>
      </c>
    </row>
    <row r="94" customFormat="false" ht="15" hidden="false" customHeight="false" outlineLevel="0" collapsed="false">
      <c r="A94" s="110"/>
      <c r="B94" s="108"/>
      <c r="C94" s="142"/>
      <c r="D94" s="108"/>
      <c r="E94" s="183" t="str">
        <f aca="false" t="array" ref="E94:E94">IF(B94="","",IFERROR(INDEX(Keywords!$B$5:$B$165,MAX(ISNUMBER(SEARCH(Keywords!$A$5:$A$165,B94))*(Keywords!$A$5:$A$165&lt;&gt;"")*ROW(Keywords!$A$5:$A$165))-4),""))</f>
        <v/>
      </c>
      <c r="F94" s="150" t="str">
        <f aca="false">IF(B94="","",IF(L94="Transfer","Transfer",IF(L94="Income","Income",IF(D94&lt;&gt;"",D94,IF(E94&lt;&gt;"",E94,"Uncategorized")))))</f>
        <v/>
      </c>
      <c r="G94" s="108"/>
      <c r="H94" s="184" t="str">
        <f aca="false">IF(A94="","",DATE(YEAR(A94),MONTH(A94),1))</f>
        <v/>
      </c>
      <c r="I94" s="185"/>
      <c r="J94" s="144"/>
      <c r="K94" s="159" t="str">
        <f aca="false">IF(C94="","",N(C94)/IF(N94&lt;&gt;"",N94,IF(J94="",1,IFERROR(INDEX(Setup!$C$23:$C$46,MATCH(J94,Setup!$A$23:$A$46,0)),1))))</f>
        <v/>
      </c>
      <c r="L94" s="144"/>
      <c r="M94" s="108"/>
      <c r="N94" s="111"/>
      <c r="O94" s="156" t="str">
        <f aca="false">IF(OR(B94="",L94="Transfer"),"",IF(COUNTIFS($B$5:$B$604,B94,$H$5:$H$604,EDATE(H94,-1),$C$5:$C$604,"&gt;="&amp;C94*0.85,$C$5:$C$604,"&lt;="&amp;C94*1.15)&gt;0,"recurring",""))</f>
        <v/>
      </c>
      <c r="P94" s="157" t="str">
        <f aca="false">IF(B94="","",IF(COUNTIF(B94:$B$604,B94)=1,1,""))</f>
        <v/>
      </c>
      <c r="Q94" s="157" t="str">
        <f aca="false">IF(AND(O94="recurring",P94=1),COUNTIFS($O$5:O94,"recurring",$P$5:P94,1),"")</f>
        <v/>
      </c>
    </row>
    <row r="95" customFormat="false" ht="15" hidden="false" customHeight="false" outlineLevel="0" collapsed="false">
      <c r="A95" s="110"/>
      <c r="B95" s="108"/>
      <c r="C95" s="142"/>
      <c r="D95" s="108"/>
      <c r="E95" s="183" t="str">
        <f aca="false" t="array" ref="E95:E95">IF(B95="","",IFERROR(INDEX(Keywords!$B$5:$B$165,MAX(ISNUMBER(SEARCH(Keywords!$A$5:$A$165,B95))*(Keywords!$A$5:$A$165&lt;&gt;"")*ROW(Keywords!$A$5:$A$165))-4),""))</f>
        <v/>
      </c>
      <c r="F95" s="150" t="str">
        <f aca="false">IF(B95="","",IF(L95="Transfer","Transfer",IF(L95="Income","Income",IF(D95&lt;&gt;"",D95,IF(E95&lt;&gt;"",E95,"Uncategorized")))))</f>
        <v/>
      </c>
      <c r="G95" s="108"/>
      <c r="H95" s="184" t="str">
        <f aca="false">IF(A95="","",DATE(YEAR(A95),MONTH(A95),1))</f>
        <v/>
      </c>
      <c r="I95" s="185"/>
      <c r="J95" s="144"/>
      <c r="K95" s="159" t="str">
        <f aca="false">IF(C95="","",N(C95)/IF(N95&lt;&gt;"",N95,IF(J95="",1,IFERROR(INDEX(Setup!$C$23:$C$46,MATCH(J95,Setup!$A$23:$A$46,0)),1))))</f>
        <v/>
      </c>
      <c r="L95" s="144"/>
      <c r="M95" s="108"/>
      <c r="N95" s="111"/>
      <c r="O95" s="156" t="str">
        <f aca="false">IF(OR(B95="",L95="Transfer"),"",IF(COUNTIFS($B$5:$B$604,B95,$H$5:$H$604,EDATE(H95,-1),$C$5:$C$604,"&gt;="&amp;C95*0.85,$C$5:$C$604,"&lt;="&amp;C95*1.15)&gt;0,"recurring",""))</f>
        <v/>
      </c>
      <c r="P95" s="157" t="str">
        <f aca="false">IF(B95="","",IF(COUNTIF(B95:$B$604,B95)=1,1,""))</f>
        <v/>
      </c>
      <c r="Q95" s="157" t="str">
        <f aca="false">IF(AND(O95="recurring",P95=1),COUNTIFS($O$5:O95,"recurring",$P$5:P95,1),"")</f>
        <v/>
      </c>
    </row>
    <row r="96" customFormat="false" ht="15" hidden="false" customHeight="false" outlineLevel="0" collapsed="false">
      <c r="A96" s="110"/>
      <c r="B96" s="108"/>
      <c r="C96" s="142"/>
      <c r="D96" s="108"/>
      <c r="E96" s="183" t="str">
        <f aca="false" t="array" ref="E96:E96">IF(B96="","",IFERROR(INDEX(Keywords!$B$5:$B$165,MAX(ISNUMBER(SEARCH(Keywords!$A$5:$A$165,B96))*(Keywords!$A$5:$A$165&lt;&gt;"")*ROW(Keywords!$A$5:$A$165))-4),""))</f>
        <v/>
      </c>
      <c r="F96" s="150" t="str">
        <f aca="false">IF(B96="","",IF(L96="Transfer","Transfer",IF(L96="Income","Income",IF(D96&lt;&gt;"",D96,IF(E96&lt;&gt;"",E96,"Uncategorized")))))</f>
        <v/>
      </c>
      <c r="G96" s="108"/>
      <c r="H96" s="184" t="str">
        <f aca="false">IF(A96="","",DATE(YEAR(A96),MONTH(A96),1))</f>
        <v/>
      </c>
      <c r="I96" s="185"/>
      <c r="J96" s="144"/>
      <c r="K96" s="159" t="str">
        <f aca="false">IF(C96="","",N(C96)/IF(N96&lt;&gt;"",N96,IF(J96="",1,IFERROR(INDEX(Setup!$C$23:$C$46,MATCH(J96,Setup!$A$23:$A$46,0)),1))))</f>
        <v/>
      </c>
      <c r="L96" s="144"/>
      <c r="M96" s="108"/>
      <c r="N96" s="111"/>
      <c r="O96" s="156" t="str">
        <f aca="false">IF(OR(B96="",L96="Transfer"),"",IF(COUNTIFS($B$5:$B$604,B96,$H$5:$H$604,EDATE(H96,-1),$C$5:$C$604,"&gt;="&amp;C96*0.85,$C$5:$C$604,"&lt;="&amp;C96*1.15)&gt;0,"recurring",""))</f>
        <v/>
      </c>
      <c r="P96" s="157" t="str">
        <f aca="false">IF(B96="","",IF(COUNTIF(B96:$B$604,B96)=1,1,""))</f>
        <v/>
      </c>
      <c r="Q96" s="157" t="str">
        <f aca="false">IF(AND(O96="recurring",P96=1),COUNTIFS($O$5:O96,"recurring",$P$5:P96,1),"")</f>
        <v/>
      </c>
    </row>
    <row r="97" customFormat="false" ht="15" hidden="false" customHeight="false" outlineLevel="0" collapsed="false">
      <c r="A97" s="110"/>
      <c r="B97" s="108"/>
      <c r="C97" s="142"/>
      <c r="D97" s="108"/>
      <c r="E97" s="183" t="str">
        <f aca="false" t="array" ref="E97:E97">IF(B97="","",IFERROR(INDEX(Keywords!$B$5:$B$165,MAX(ISNUMBER(SEARCH(Keywords!$A$5:$A$165,B97))*(Keywords!$A$5:$A$165&lt;&gt;"")*ROW(Keywords!$A$5:$A$165))-4),""))</f>
        <v/>
      </c>
      <c r="F97" s="150" t="str">
        <f aca="false">IF(B97="","",IF(L97="Transfer","Transfer",IF(L97="Income","Income",IF(D97&lt;&gt;"",D97,IF(E97&lt;&gt;"",E97,"Uncategorized")))))</f>
        <v/>
      </c>
      <c r="G97" s="108"/>
      <c r="H97" s="184" t="str">
        <f aca="false">IF(A97="","",DATE(YEAR(A97),MONTH(A97),1))</f>
        <v/>
      </c>
      <c r="I97" s="185"/>
      <c r="J97" s="144"/>
      <c r="K97" s="159" t="str">
        <f aca="false">IF(C97="","",N(C97)/IF(N97&lt;&gt;"",N97,IF(J97="",1,IFERROR(INDEX(Setup!$C$23:$C$46,MATCH(J97,Setup!$A$23:$A$46,0)),1))))</f>
        <v/>
      </c>
      <c r="L97" s="144"/>
      <c r="M97" s="108"/>
      <c r="N97" s="111"/>
      <c r="O97" s="156" t="str">
        <f aca="false">IF(OR(B97="",L97="Transfer"),"",IF(COUNTIFS($B$5:$B$604,B97,$H$5:$H$604,EDATE(H97,-1),$C$5:$C$604,"&gt;="&amp;C97*0.85,$C$5:$C$604,"&lt;="&amp;C97*1.15)&gt;0,"recurring",""))</f>
        <v/>
      </c>
      <c r="P97" s="157" t="str">
        <f aca="false">IF(B97="","",IF(COUNTIF(B97:$B$604,B97)=1,1,""))</f>
        <v/>
      </c>
      <c r="Q97" s="157" t="str">
        <f aca="false">IF(AND(O97="recurring",P97=1),COUNTIFS($O$5:O97,"recurring",$P$5:P97,1),"")</f>
        <v/>
      </c>
    </row>
    <row r="98" customFormat="false" ht="15" hidden="false" customHeight="false" outlineLevel="0" collapsed="false">
      <c r="A98" s="110"/>
      <c r="B98" s="108"/>
      <c r="C98" s="142"/>
      <c r="D98" s="108"/>
      <c r="E98" s="183" t="str">
        <f aca="false" t="array" ref="E98:E98">IF(B98="","",IFERROR(INDEX(Keywords!$B$5:$B$165,MAX(ISNUMBER(SEARCH(Keywords!$A$5:$A$165,B98))*(Keywords!$A$5:$A$165&lt;&gt;"")*ROW(Keywords!$A$5:$A$165))-4),""))</f>
        <v/>
      </c>
      <c r="F98" s="150" t="str">
        <f aca="false">IF(B98="","",IF(L98="Transfer","Transfer",IF(L98="Income","Income",IF(D98&lt;&gt;"",D98,IF(E98&lt;&gt;"",E98,"Uncategorized")))))</f>
        <v/>
      </c>
      <c r="G98" s="108"/>
      <c r="H98" s="184" t="str">
        <f aca="false">IF(A98="","",DATE(YEAR(A98),MONTH(A98),1))</f>
        <v/>
      </c>
      <c r="I98" s="185"/>
      <c r="J98" s="144"/>
      <c r="K98" s="159" t="str">
        <f aca="false">IF(C98="","",N(C98)/IF(N98&lt;&gt;"",N98,IF(J98="",1,IFERROR(INDEX(Setup!$C$23:$C$46,MATCH(J98,Setup!$A$23:$A$46,0)),1))))</f>
        <v/>
      </c>
      <c r="L98" s="144"/>
      <c r="M98" s="108"/>
      <c r="N98" s="111"/>
      <c r="O98" s="156" t="str">
        <f aca="false">IF(OR(B98="",L98="Transfer"),"",IF(COUNTIFS($B$5:$B$604,B98,$H$5:$H$604,EDATE(H98,-1),$C$5:$C$604,"&gt;="&amp;C98*0.85,$C$5:$C$604,"&lt;="&amp;C98*1.15)&gt;0,"recurring",""))</f>
        <v/>
      </c>
      <c r="P98" s="157" t="str">
        <f aca="false">IF(B98="","",IF(COUNTIF(B98:$B$604,B98)=1,1,""))</f>
        <v/>
      </c>
      <c r="Q98" s="157" t="str">
        <f aca="false">IF(AND(O98="recurring",P98=1),COUNTIFS($O$5:O98,"recurring",$P$5:P98,1),"")</f>
        <v/>
      </c>
    </row>
    <row r="99" customFormat="false" ht="15" hidden="false" customHeight="false" outlineLevel="0" collapsed="false">
      <c r="A99" s="110"/>
      <c r="B99" s="108"/>
      <c r="C99" s="142"/>
      <c r="D99" s="108"/>
      <c r="E99" s="183" t="str">
        <f aca="false" t="array" ref="E99:E99">IF(B99="","",IFERROR(INDEX(Keywords!$B$5:$B$165,MAX(ISNUMBER(SEARCH(Keywords!$A$5:$A$165,B99))*(Keywords!$A$5:$A$165&lt;&gt;"")*ROW(Keywords!$A$5:$A$165))-4),""))</f>
        <v/>
      </c>
      <c r="F99" s="150" t="str">
        <f aca="false">IF(B99="","",IF(L99="Transfer","Transfer",IF(L99="Income","Income",IF(D99&lt;&gt;"",D99,IF(E99&lt;&gt;"",E99,"Uncategorized")))))</f>
        <v/>
      </c>
      <c r="G99" s="108"/>
      <c r="H99" s="184" t="str">
        <f aca="false">IF(A99="","",DATE(YEAR(A99),MONTH(A99),1))</f>
        <v/>
      </c>
      <c r="I99" s="185"/>
      <c r="J99" s="144"/>
      <c r="K99" s="159" t="str">
        <f aca="false">IF(C99="","",N(C99)/IF(N99&lt;&gt;"",N99,IF(J99="",1,IFERROR(INDEX(Setup!$C$23:$C$46,MATCH(J99,Setup!$A$23:$A$46,0)),1))))</f>
        <v/>
      </c>
      <c r="L99" s="144"/>
      <c r="M99" s="108"/>
      <c r="N99" s="111"/>
      <c r="O99" s="156" t="str">
        <f aca="false">IF(OR(B99="",L99="Transfer"),"",IF(COUNTIFS($B$5:$B$604,B99,$H$5:$H$604,EDATE(H99,-1),$C$5:$C$604,"&gt;="&amp;C99*0.85,$C$5:$C$604,"&lt;="&amp;C99*1.15)&gt;0,"recurring",""))</f>
        <v/>
      </c>
      <c r="P99" s="157" t="str">
        <f aca="false">IF(B99="","",IF(COUNTIF(B99:$B$604,B99)=1,1,""))</f>
        <v/>
      </c>
      <c r="Q99" s="157" t="str">
        <f aca="false">IF(AND(O99="recurring",P99=1),COUNTIFS($O$5:O99,"recurring",$P$5:P99,1),"")</f>
        <v/>
      </c>
    </row>
    <row r="100" customFormat="false" ht="15" hidden="false" customHeight="false" outlineLevel="0" collapsed="false">
      <c r="A100" s="110"/>
      <c r="B100" s="108"/>
      <c r="C100" s="142"/>
      <c r="D100" s="108"/>
      <c r="E100" s="183" t="str">
        <f aca="false" t="array" ref="E100:E100">IF(B100="","",IFERROR(INDEX(Keywords!$B$5:$B$165,MAX(ISNUMBER(SEARCH(Keywords!$A$5:$A$165,B100))*(Keywords!$A$5:$A$165&lt;&gt;"")*ROW(Keywords!$A$5:$A$165))-4),""))</f>
        <v/>
      </c>
      <c r="F100" s="150" t="str">
        <f aca="false">IF(B100="","",IF(L100="Transfer","Transfer",IF(L100="Income","Income",IF(D100&lt;&gt;"",D100,IF(E100&lt;&gt;"",E100,"Uncategorized")))))</f>
        <v/>
      </c>
      <c r="G100" s="108"/>
      <c r="H100" s="184" t="str">
        <f aca="false">IF(A100="","",DATE(YEAR(A100),MONTH(A100),1))</f>
        <v/>
      </c>
      <c r="I100" s="185"/>
      <c r="J100" s="144"/>
      <c r="K100" s="159" t="str">
        <f aca="false">IF(C100="","",N(C100)/IF(N100&lt;&gt;"",N100,IF(J100="",1,IFERROR(INDEX(Setup!$C$23:$C$46,MATCH(J100,Setup!$A$23:$A$46,0)),1))))</f>
        <v/>
      </c>
      <c r="L100" s="144"/>
      <c r="M100" s="108"/>
      <c r="N100" s="111"/>
      <c r="O100" s="156" t="str">
        <f aca="false">IF(OR(B100="",L100="Transfer"),"",IF(COUNTIFS($B$5:$B$604,B100,$H$5:$H$604,EDATE(H100,-1),$C$5:$C$604,"&gt;="&amp;C100*0.85,$C$5:$C$604,"&lt;="&amp;C100*1.15)&gt;0,"recurring",""))</f>
        <v/>
      </c>
      <c r="P100" s="157" t="str">
        <f aca="false">IF(B100="","",IF(COUNTIF(B100:$B$604,B100)=1,1,""))</f>
        <v/>
      </c>
      <c r="Q100" s="157" t="str">
        <f aca="false">IF(AND(O100="recurring",P100=1),COUNTIFS($O$5:O100,"recurring",$P$5:P100,1),"")</f>
        <v/>
      </c>
    </row>
    <row r="101" customFormat="false" ht="15" hidden="false" customHeight="false" outlineLevel="0" collapsed="false">
      <c r="A101" s="110"/>
      <c r="B101" s="108"/>
      <c r="C101" s="142"/>
      <c r="D101" s="108"/>
      <c r="E101" s="183" t="str">
        <f aca="false" t="array" ref="E101:E101">IF(B101="","",IFERROR(INDEX(Keywords!$B$5:$B$165,MAX(ISNUMBER(SEARCH(Keywords!$A$5:$A$165,B101))*(Keywords!$A$5:$A$165&lt;&gt;"")*ROW(Keywords!$A$5:$A$165))-4),""))</f>
        <v/>
      </c>
      <c r="F101" s="150" t="str">
        <f aca="false">IF(B101="","",IF(L101="Transfer","Transfer",IF(L101="Income","Income",IF(D101&lt;&gt;"",D101,IF(E101&lt;&gt;"",E101,"Uncategorized")))))</f>
        <v/>
      </c>
      <c r="G101" s="108"/>
      <c r="H101" s="184" t="str">
        <f aca="false">IF(A101="","",DATE(YEAR(A101),MONTH(A101),1))</f>
        <v/>
      </c>
      <c r="I101" s="185"/>
      <c r="J101" s="144"/>
      <c r="K101" s="159" t="str">
        <f aca="false">IF(C101="","",N(C101)/IF(N101&lt;&gt;"",N101,IF(J101="",1,IFERROR(INDEX(Setup!$C$23:$C$46,MATCH(J101,Setup!$A$23:$A$46,0)),1))))</f>
        <v/>
      </c>
      <c r="L101" s="144"/>
      <c r="M101" s="108"/>
      <c r="N101" s="111"/>
      <c r="O101" s="156" t="str">
        <f aca="false">IF(OR(B101="",L101="Transfer"),"",IF(COUNTIFS($B$5:$B$604,B101,$H$5:$H$604,EDATE(H101,-1),$C$5:$C$604,"&gt;="&amp;C101*0.85,$C$5:$C$604,"&lt;="&amp;C101*1.15)&gt;0,"recurring",""))</f>
        <v/>
      </c>
      <c r="P101" s="157" t="str">
        <f aca="false">IF(B101="","",IF(COUNTIF(B101:$B$604,B101)=1,1,""))</f>
        <v/>
      </c>
      <c r="Q101" s="157" t="str">
        <f aca="false">IF(AND(O101="recurring",P101=1),COUNTIFS($O$5:O101,"recurring",$P$5:P101,1),"")</f>
        <v/>
      </c>
    </row>
    <row r="102" customFormat="false" ht="15" hidden="false" customHeight="false" outlineLevel="0" collapsed="false">
      <c r="A102" s="110"/>
      <c r="B102" s="108"/>
      <c r="C102" s="142"/>
      <c r="D102" s="108"/>
      <c r="E102" s="183" t="str">
        <f aca="false" t="array" ref="E102:E102">IF(B102="","",IFERROR(INDEX(Keywords!$B$5:$B$165,MAX(ISNUMBER(SEARCH(Keywords!$A$5:$A$165,B102))*(Keywords!$A$5:$A$165&lt;&gt;"")*ROW(Keywords!$A$5:$A$165))-4),""))</f>
        <v/>
      </c>
      <c r="F102" s="150" t="str">
        <f aca="false">IF(B102="","",IF(L102="Transfer","Transfer",IF(L102="Income","Income",IF(D102&lt;&gt;"",D102,IF(E102&lt;&gt;"",E102,"Uncategorized")))))</f>
        <v/>
      </c>
      <c r="G102" s="108"/>
      <c r="H102" s="184" t="str">
        <f aca="false">IF(A102="","",DATE(YEAR(A102),MONTH(A102),1))</f>
        <v/>
      </c>
      <c r="I102" s="185"/>
      <c r="J102" s="144"/>
      <c r="K102" s="159" t="str">
        <f aca="false">IF(C102="","",N(C102)/IF(N102&lt;&gt;"",N102,IF(J102="",1,IFERROR(INDEX(Setup!$C$23:$C$46,MATCH(J102,Setup!$A$23:$A$46,0)),1))))</f>
        <v/>
      </c>
      <c r="L102" s="144"/>
      <c r="M102" s="108"/>
      <c r="N102" s="111"/>
      <c r="O102" s="156" t="str">
        <f aca="false">IF(OR(B102="",L102="Transfer"),"",IF(COUNTIFS($B$5:$B$604,B102,$H$5:$H$604,EDATE(H102,-1),$C$5:$C$604,"&gt;="&amp;C102*0.85,$C$5:$C$604,"&lt;="&amp;C102*1.15)&gt;0,"recurring",""))</f>
        <v/>
      </c>
      <c r="P102" s="157" t="str">
        <f aca="false">IF(B102="","",IF(COUNTIF(B102:$B$604,B102)=1,1,""))</f>
        <v/>
      </c>
      <c r="Q102" s="157" t="str">
        <f aca="false">IF(AND(O102="recurring",P102=1),COUNTIFS($O$5:O102,"recurring",$P$5:P102,1),"")</f>
        <v/>
      </c>
    </row>
    <row r="103" customFormat="false" ht="15" hidden="false" customHeight="false" outlineLevel="0" collapsed="false">
      <c r="A103" s="110"/>
      <c r="B103" s="108"/>
      <c r="C103" s="142"/>
      <c r="D103" s="108"/>
      <c r="E103" s="183" t="str">
        <f aca="false" t="array" ref="E103:E103">IF(B103="","",IFERROR(INDEX(Keywords!$B$5:$B$165,MAX(ISNUMBER(SEARCH(Keywords!$A$5:$A$165,B103))*(Keywords!$A$5:$A$165&lt;&gt;"")*ROW(Keywords!$A$5:$A$165))-4),""))</f>
        <v/>
      </c>
      <c r="F103" s="150" t="str">
        <f aca="false">IF(B103="","",IF(L103="Transfer","Transfer",IF(L103="Income","Income",IF(D103&lt;&gt;"",D103,IF(E103&lt;&gt;"",E103,"Uncategorized")))))</f>
        <v/>
      </c>
      <c r="G103" s="108"/>
      <c r="H103" s="184" t="str">
        <f aca="false">IF(A103="","",DATE(YEAR(A103),MONTH(A103),1))</f>
        <v/>
      </c>
      <c r="I103" s="185"/>
      <c r="J103" s="144"/>
      <c r="K103" s="159" t="str">
        <f aca="false">IF(C103="","",N(C103)/IF(N103&lt;&gt;"",N103,IF(J103="",1,IFERROR(INDEX(Setup!$C$23:$C$46,MATCH(J103,Setup!$A$23:$A$46,0)),1))))</f>
        <v/>
      </c>
      <c r="L103" s="144"/>
      <c r="M103" s="108"/>
      <c r="N103" s="111"/>
      <c r="O103" s="156" t="str">
        <f aca="false">IF(OR(B103="",L103="Transfer"),"",IF(COUNTIFS($B$5:$B$604,B103,$H$5:$H$604,EDATE(H103,-1),$C$5:$C$604,"&gt;="&amp;C103*0.85,$C$5:$C$604,"&lt;="&amp;C103*1.15)&gt;0,"recurring",""))</f>
        <v/>
      </c>
      <c r="P103" s="157" t="str">
        <f aca="false">IF(B103="","",IF(COUNTIF(B103:$B$604,B103)=1,1,""))</f>
        <v/>
      </c>
      <c r="Q103" s="157" t="str">
        <f aca="false">IF(AND(O103="recurring",P103=1),COUNTIFS($O$5:O103,"recurring",$P$5:P103,1),"")</f>
        <v/>
      </c>
    </row>
    <row r="104" customFormat="false" ht="15" hidden="false" customHeight="false" outlineLevel="0" collapsed="false">
      <c r="A104" s="110"/>
      <c r="B104" s="108"/>
      <c r="C104" s="142"/>
      <c r="D104" s="108"/>
      <c r="E104" s="183" t="str">
        <f aca="false" t="array" ref="E104:E104">IF(B104="","",IFERROR(INDEX(Keywords!$B$5:$B$165,MAX(ISNUMBER(SEARCH(Keywords!$A$5:$A$165,B104))*(Keywords!$A$5:$A$165&lt;&gt;"")*ROW(Keywords!$A$5:$A$165))-4),""))</f>
        <v/>
      </c>
      <c r="F104" s="150" t="str">
        <f aca="false">IF(B104="","",IF(L104="Transfer","Transfer",IF(L104="Income","Income",IF(D104&lt;&gt;"",D104,IF(E104&lt;&gt;"",E104,"Uncategorized")))))</f>
        <v/>
      </c>
      <c r="G104" s="108"/>
      <c r="H104" s="184" t="str">
        <f aca="false">IF(A104="","",DATE(YEAR(A104),MONTH(A104),1))</f>
        <v/>
      </c>
      <c r="I104" s="185"/>
      <c r="J104" s="144"/>
      <c r="K104" s="159" t="str">
        <f aca="false">IF(C104="","",N(C104)/IF(N104&lt;&gt;"",N104,IF(J104="",1,IFERROR(INDEX(Setup!$C$23:$C$46,MATCH(J104,Setup!$A$23:$A$46,0)),1))))</f>
        <v/>
      </c>
      <c r="L104" s="144"/>
      <c r="M104" s="108"/>
      <c r="N104" s="111"/>
      <c r="O104" s="156" t="str">
        <f aca="false">IF(OR(B104="",L104="Transfer"),"",IF(COUNTIFS($B$5:$B$604,B104,$H$5:$H$604,EDATE(H104,-1),$C$5:$C$604,"&gt;="&amp;C104*0.85,$C$5:$C$604,"&lt;="&amp;C104*1.15)&gt;0,"recurring",""))</f>
        <v/>
      </c>
      <c r="P104" s="157" t="str">
        <f aca="false">IF(B104="","",IF(COUNTIF(B104:$B$604,B104)=1,1,""))</f>
        <v/>
      </c>
      <c r="Q104" s="157" t="str">
        <f aca="false">IF(AND(O104="recurring",P104=1),COUNTIFS($O$5:O104,"recurring",$P$5:P104,1),"")</f>
        <v/>
      </c>
    </row>
    <row r="105" customFormat="false" ht="15" hidden="false" customHeight="false" outlineLevel="0" collapsed="false">
      <c r="A105" s="110"/>
      <c r="B105" s="108"/>
      <c r="C105" s="142"/>
      <c r="D105" s="108"/>
      <c r="E105" s="183" t="str">
        <f aca="false" t="array" ref="E105:E105">IF(B105="","",IFERROR(INDEX(Keywords!$B$5:$B$165,MAX(ISNUMBER(SEARCH(Keywords!$A$5:$A$165,B105))*(Keywords!$A$5:$A$165&lt;&gt;"")*ROW(Keywords!$A$5:$A$165))-4),""))</f>
        <v/>
      </c>
      <c r="F105" s="150" t="str">
        <f aca="false">IF(B105="","",IF(L105="Transfer","Transfer",IF(L105="Income","Income",IF(D105&lt;&gt;"",D105,IF(E105&lt;&gt;"",E105,"Uncategorized")))))</f>
        <v/>
      </c>
      <c r="G105" s="108"/>
      <c r="H105" s="184" t="str">
        <f aca="false">IF(A105="","",DATE(YEAR(A105),MONTH(A105),1))</f>
        <v/>
      </c>
      <c r="I105" s="185"/>
      <c r="J105" s="144"/>
      <c r="K105" s="159" t="str">
        <f aca="false">IF(C105="","",N(C105)/IF(N105&lt;&gt;"",N105,IF(J105="",1,IFERROR(INDEX(Setup!$C$23:$C$46,MATCH(J105,Setup!$A$23:$A$46,0)),1))))</f>
        <v/>
      </c>
      <c r="L105" s="144"/>
      <c r="M105" s="108"/>
      <c r="N105" s="111"/>
      <c r="O105" s="156" t="str">
        <f aca="false">IF(OR(B105="",L105="Transfer"),"",IF(COUNTIFS($B$5:$B$604,B105,$H$5:$H$604,EDATE(H105,-1),$C$5:$C$604,"&gt;="&amp;C105*0.85,$C$5:$C$604,"&lt;="&amp;C105*1.15)&gt;0,"recurring",""))</f>
        <v/>
      </c>
      <c r="P105" s="157" t="str">
        <f aca="false">IF(B105="","",IF(COUNTIF(B105:$B$604,B105)=1,1,""))</f>
        <v/>
      </c>
      <c r="Q105" s="157" t="str">
        <f aca="false">IF(AND(O105="recurring",P105=1),COUNTIFS($O$5:O105,"recurring",$P$5:P105,1),"")</f>
        <v/>
      </c>
    </row>
    <row r="106" customFormat="false" ht="15" hidden="false" customHeight="false" outlineLevel="0" collapsed="false">
      <c r="A106" s="110"/>
      <c r="B106" s="108"/>
      <c r="C106" s="142"/>
      <c r="D106" s="108"/>
      <c r="E106" s="183" t="str">
        <f aca="false" t="array" ref="E106:E106">IF(B106="","",IFERROR(INDEX(Keywords!$B$5:$B$165,MAX(ISNUMBER(SEARCH(Keywords!$A$5:$A$165,B106))*(Keywords!$A$5:$A$165&lt;&gt;"")*ROW(Keywords!$A$5:$A$165))-4),""))</f>
        <v/>
      </c>
      <c r="F106" s="150" t="str">
        <f aca="false">IF(B106="","",IF(L106="Transfer","Transfer",IF(L106="Income","Income",IF(D106&lt;&gt;"",D106,IF(E106&lt;&gt;"",E106,"Uncategorized")))))</f>
        <v/>
      </c>
      <c r="G106" s="108"/>
      <c r="H106" s="184" t="str">
        <f aca="false">IF(A106="","",DATE(YEAR(A106),MONTH(A106),1))</f>
        <v/>
      </c>
      <c r="I106" s="185"/>
      <c r="J106" s="144"/>
      <c r="K106" s="159" t="str">
        <f aca="false">IF(C106="","",N(C106)/IF(N106&lt;&gt;"",N106,IF(J106="",1,IFERROR(INDEX(Setup!$C$23:$C$46,MATCH(J106,Setup!$A$23:$A$46,0)),1))))</f>
        <v/>
      </c>
      <c r="L106" s="144"/>
      <c r="M106" s="108"/>
      <c r="N106" s="111"/>
      <c r="O106" s="156" t="str">
        <f aca="false">IF(OR(B106="",L106="Transfer"),"",IF(COUNTIFS($B$5:$B$604,B106,$H$5:$H$604,EDATE(H106,-1),$C$5:$C$604,"&gt;="&amp;C106*0.85,$C$5:$C$604,"&lt;="&amp;C106*1.15)&gt;0,"recurring",""))</f>
        <v/>
      </c>
      <c r="P106" s="157" t="str">
        <f aca="false">IF(B106="","",IF(COUNTIF(B106:$B$604,B106)=1,1,""))</f>
        <v/>
      </c>
      <c r="Q106" s="157" t="str">
        <f aca="false">IF(AND(O106="recurring",P106=1),COUNTIFS($O$5:O106,"recurring",$P$5:P106,1),"")</f>
        <v/>
      </c>
    </row>
    <row r="107" customFormat="false" ht="15" hidden="false" customHeight="false" outlineLevel="0" collapsed="false">
      <c r="A107" s="110"/>
      <c r="B107" s="108"/>
      <c r="C107" s="142"/>
      <c r="D107" s="108"/>
      <c r="E107" s="183" t="str">
        <f aca="false" t="array" ref="E107:E107">IF(B107="","",IFERROR(INDEX(Keywords!$B$5:$B$165,MAX(ISNUMBER(SEARCH(Keywords!$A$5:$A$165,B107))*(Keywords!$A$5:$A$165&lt;&gt;"")*ROW(Keywords!$A$5:$A$165))-4),""))</f>
        <v/>
      </c>
      <c r="F107" s="150" t="str">
        <f aca="false">IF(B107="","",IF(L107="Transfer","Transfer",IF(L107="Income","Income",IF(D107&lt;&gt;"",D107,IF(E107&lt;&gt;"",E107,"Uncategorized")))))</f>
        <v/>
      </c>
      <c r="G107" s="108"/>
      <c r="H107" s="184" t="str">
        <f aca="false">IF(A107="","",DATE(YEAR(A107),MONTH(A107),1))</f>
        <v/>
      </c>
      <c r="I107" s="185"/>
      <c r="J107" s="144"/>
      <c r="K107" s="159" t="str">
        <f aca="false">IF(C107="","",N(C107)/IF(N107&lt;&gt;"",N107,IF(J107="",1,IFERROR(INDEX(Setup!$C$23:$C$46,MATCH(J107,Setup!$A$23:$A$46,0)),1))))</f>
        <v/>
      </c>
      <c r="L107" s="144"/>
      <c r="M107" s="108"/>
      <c r="N107" s="111"/>
      <c r="O107" s="156" t="str">
        <f aca="false">IF(OR(B107="",L107="Transfer"),"",IF(COUNTIFS($B$5:$B$604,B107,$H$5:$H$604,EDATE(H107,-1),$C$5:$C$604,"&gt;="&amp;C107*0.85,$C$5:$C$604,"&lt;="&amp;C107*1.15)&gt;0,"recurring",""))</f>
        <v/>
      </c>
      <c r="P107" s="157" t="str">
        <f aca="false">IF(B107="","",IF(COUNTIF(B107:$B$604,B107)=1,1,""))</f>
        <v/>
      </c>
      <c r="Q107" s="157" t="str">
        <f aca="false">IF(AND(O107="recurring",P107=1),COUNTIFS($O$5:O107,"recurring",$P$5:P107,1),"")</f>
        <v/>
      </c>
    </row>
    <row r="108" customFormat="false" ht="15" hidden="false" customHeight="false" outlineLevel="0" collapsed="false">
      <c r="A108" s="110"/>
      <c r="B108" s="108"/>
      <c r="C108" s="142"/>
      <c r="D108" s="108"/>
      <c r="E108" s="183" t="str">
        <f aca="false" t="array" ref="E108:E108">IF(B108="","",IFERROR(INDEX(Keywords!$B$5:$B$165,MAX(ISNUMBER(SEARCH(Keywords!$A$5:$A$165,B108))*(Keywords!$A$5:$A$165&lt;&gt;"")*ROW(Keywords!$A$5:$A$165))-4),""))</f>
        <v/>
      </c>
      <c r="F108" s="150" t="str">
        <f aca="false">IF(B108="","",IF(L108="Transfer","Transfer",IF(L108="Income","Income",IF(D108&lt;&gt;"",D108,IF(E108&lt;&gt;"",E108,"Uncategorized")))))</f>
        <v/>
      </c>
      <c r="G108" s="108"/>
      <c r="H108" s="184" t="str">
        <f aca="false">IF(A108="","",DATE(YEAR(A108),MONTH(A108),1))</f>
        <v/>
      </c>
      <c r="I108" s="185"/>
      <c r="J108" s="144"/>
      <c r="K108" s="159" t="str">
        <f aca="false">IF(C108="","",N(C108)/IF(N108&lt;&gt;"",N108,IF(J108="",1,IFERROR(INDEX(Setup!$C$23:$C$46,MATCH(J108,Setup!$A$23:$A$46,0)),1))))</f>
        <v/>
      </c>
      <c r="L108" s="144"/>
      <c r="M108" s="108"/>
      <c r="N108" s="111"/>
      <c r="O108" s="156" t="str">
        <f aca="false">IF(OR(B108="",L108="Transfer"),"",IF(COUNTIFS($B$5:$B$604,B108,$H$5:$H$604,EDATE(H108,-1),$C$5:$C$604,"&gt;="&amp;C108*0.85,$C$5:$C$604,"&lt;="&amp;C108*1.15)&gt;0,"recurring",""))</f>
        <v/>
      </c>
      <c r="P108" s="157" t="str">
        <f aca="false">IF(B108="","",IF(COUNTIF(B108:$B$604,B108)=1,1,""))</f>
        <v/>
      </c>
      <c r="Q108" s="157" t="str">
        <f aca="false">IF(AND(O108="recurring",P108=1),COUNTIFS($O$5:O108,"recurring",$P$5:P108,1),"")</f>
        <v/>
      </c>
    </row>
    <row r="109" customFormat="false" ht="15" hidden="false" customHeight="false" outlineLevel="0" collapsed="false">
      <c r="A109" s="110"/>
      <c r="B109" s="108"/>
      <c r="C109" s="142"/>
      <c r="D109" s="108"/>
      <c r="E109" s="183" t="str">
        <f aca="false" t="array" ref="E109:E109">IF(B109="","",IFERROR(INDEX(Keywords!$B$5:$B$165,MAX(ISNUMBER(SEARCH(Keywords!$A$5:$A$165,B109))*(Keywords!$A$5:$A$165&lt;&gt;"")*ROW(Keywords!$A$5:$A$165))-4),""))</f>
        <v/>
      </c>
      <c r="F109" s="150" t="str">
        <f aca="false">IF(B109="","",IF(L109="Transfer","Transfer",IF(L109="Income","Income",IF(D109&lt;&gt;"",D109,IF(E109&lt;&gt;"",E109,"Uncategorized")))))</f>
        <v/>
      </c>
      <c r="G109" s="108"/>
      <c r="H109" s="184" t="str">
        <f aca="false">IF(A109="","",DATE(YEAR(A109),MONTH(A109),1))</f>
        <v/>
      </c>
      <c r="I109" s="185"/>
      <c r="J109" s="144"/>
      <c r="K109" s="159" t="str">
        <f aca="false">IF(C109="","",N(C109)/IF(N109&lt;&gt;"",N109,IF(J109="",1,IFERROR(INDEX(Setup!$C$23:$C$46,MATCH(J109,Setup!$A$23:$A$46,0)),1))))</f>
        <v/>
      </c>
      <c r="L109" s="144"/>
      <c r="M109" s="108"/>
      <c r="N109" s="111"/>
      <c r="O109" s="156" t="str">
        <f aca="false">IF(OR(B109="",L109="Transfer"),"",IF(COUNTIFS($B$5:$B$604,B109,$H$5:$H$604,EDATE(H109,-1),$C$5:$C$604,"&gt;="&amp;C109*0.85,$C$5:$C$604,"&lt;="&amp;C109*1.15)&gt;0,"recurring",""))</f>
        <v/>
      </c>
      <c r="P109" s="157" t="str">
        <f aca="false">IF(B109="","",IF(COUNTIF(B109:$B$604,B109)=1,1,""))</f>
        <v/>
      </c>
      <c r="Q109" s="157" t="str">
        <f aca="false">IF(AND(O109="recurring",P109=1),COUNTIFS($O$5:O109,"recurring",$P$5:P109,1),"")</f>
        <v/>
      </c>
    </row>
    <row r="110" customFormat="false" ht="15" hidden="false" customHeight="false" outlineLevel="0" collapsed="false">
      <c r="A110" s="110"/>
      <c r="B110" s="108"/>
      <c r="C110" s="142"/>
      <c r="D110" s="108"/>
      <c r="E110" s="183" t="str">
        <f aca="false" t="array" ref="E110:E110">IF(B110="","",IFERROR(INDEX(Keywords!$B$5:$B$165,MAX(ISNUMBER(SEARCH(Keywords!$A$5:$A$165,B110))*(Keywords!$A$5:$A$165&lt;&gt;"")*ROW(Keywords!$A$5:$A$165))-4),""))</f>
        <v/>
      </c>
      <c r="F110" s="150" t="str">
        <f aca="false">IF(B110="","",IF(L110="Transfer","Transfer",IF(L110="Income","Income",IF(D110&lt;&gt;"",D110,IF(E110&lt;&gt;"",E110,"Uncategorized")))))</f>
        <v/>
      </c>
      <c r="G110" s="108"/>
      <c r="H110" s="184" t="str">
        <f aca="false">IF(A110="","",DATE(YEAR(A110),MONTH(A110),1))</f>
        <v/>
      </c>
      <c r="I110" s="185"/>
      <c r="J110" s="144"/>
      <c r="K110" s="159" t="str">
        <f aca="false">IF(C110="","",N(C110)/IF(N110&lt;&gt;"",N110,IF(J110="",1,IFERROR(INDEX(Setup!$C$23:$C$46,MATCH(J110,Setup!$A$23:$A$46,0)),1))))</f>
        <v/>
      </c>
      <c r="L110" s="144"/>
      <c r="M110" s="108"/>
      <c r="N110" s="111"/>
      <c r="O110" s="156" t="str">
        <f aca="false">IF(OR(B110="",L110="Transfer"),"",IF(COUNTIFS($B$5:$B$604,B110,$H$5:$H$604,EDATE(H110,-1),$C$5:$C$604,"&gt;="&amp;C110*0.85,$C$5:$C$604,"&lt;="&amp;C110*1.15)&gt;0,"recurring",""))</f>
        <v/>
      </c>
      <c r="P110" s="157" t="str">
        <f aca="false">IF(B110="","",IF(COUNTIF(B110:$B$604,B110)=1,1,""))</f>
        <v/>
      </c>
      <c r="Q110" s="157" t="str">
        <f aca="false">IF(AND(O110="recurring",P110=1),COUNTIFS($O$5:O110,"recurring",$P$5:P110,1),"")</f>
        <v/>
      </c>
    </row>
    <row r="111" customFormat="false" ht="15" hidden="false" customHeight="false" outlineLevel="0" collapsed="false">
      <c r="A111" s="110"/>
      <c r="B111" s="108"/>
      <c r="C111" s="142"/>
      <c r="D111" s="108"/>
      <c r="E111" s="183" t="str">
        <f aca="false" t="array" ref="E111:E111">IF(B111="","",IFERROR(INDEX(Keywords!$B$5:$B$165,MAX(ISNUMBER(SEARCH(Keywords!$A$5:$A$165,B111))*(Keywords!$A$5:$A$165&lt;&gt;"")*ROW(Keywords!$A$5:$A$165))-4),""))</f>
        <v/>
      </c>
      <c r="F111" s="150" t="str">
        <f aca="false">IF(B111="","",IF(L111="Transfer","Transfer",IF(L111="Income","Income",IF(D111&lt;&gt;"",D111,IF(E111&lt;&gt;"",E111,"Uncategorized")))))</f>
        <v/>
      </c>
      <c r="G111" s="108"/>
      <c r="H111" s="184" t="str">
        <f aca="false">IF(A111="","",DATE(YEAR(A111),MONTH(A111),1))</f>
        <v/>
      </c>
      <c r="I111" s="185"/>
      <c r="J111" s="144"/>
      <c r="K111" s="159" t="str">
        <f aca="false">IF(C111="","",N(C111)/IF(N111&lt;&gt;"",N111,IF(J111="",1,IFERROR(INDEX(Setup!$C$23:$C$46,MATCH(J111,Setup!$A$23:$A$46,0)),1))))</f>
        <v/>
      </c>
      <c r="L111" s="144"/>
      <c r="M111" s="108"/>
      <c r="N111" s="111"/>
      <c r="O111" s="156" t="str">
        <f aca="false">IF(OR(B111="",L111="Transfer"),"",IF(COUNTIFS($B$5:$B$604,B111,$H$5:$H$604,EDATE(H111,-1),$C$5:$C$604,"&gt;="&amp;C111*0.85,$C$5:$C$604,"&lt;="&amp;C111*1.15)&gt;0,"recurring",""))</f>
        <v/>
      </c>
      <c r="P111" s="157" t="str">
        <f aca="false">IF(B111="","",IF(COUNTIF(B111:$B$604,B111)=1,1,""))</f>
        <v/>
      </c>
      <c r="Q111" s="157" t="str">
        <f aca="false">IF(AND(O111="recurring",P111=1),COUNTIFS($O$5:O111,"recurring",$P$5:P111,1),"")</f>
        <v/>
      </c>
    </row>
    <row r="112" customFormat="false" ht="15" hidden="false" customHeight="false" outlineLevel="0" collapsed="false">
      <c r="A112" s="110"/>
      <c r="B112" s="108"/>
      <c r="C112" s="142"/>
      <c r="D112" s="108"/>
      <c r="E112" s="183" t="str">
        <f aca="false" t="array" ref="E112:E112">IF(B112="","",IFERROR(INDEX(Keywords!$B$5:$B$165,MAX(ISNUMBER(SEARCH(Keywords!$A$5:$A$165,B112))*(Keywords!$A$5:$A$165&lt;&gt;"")*ROW(Keywords!$A$5:$A$165))-4),""))</f>
        <v/>
      </c>
      <c r="F112" s="150" t="str">
        <f aca="false">IF(B112="","",IF(L112="Transfer","Transfer",IF(L112="Income","Income",IF(D112&lt;&gt;"",D112,IF(E112&lt;&gt;"",E112,"Uncategorized")))))</f>
        <v/>
      </c>
      <c r="G112" s="108"/>
      <c r="H112" s="184" t="str">
        <f aca="false">IF(A112="","",DATE(YEAR(A112),MONTH(A112),1))</f>
        <v/>
      </c>
      <c r="I112" s="185"/>
      <c r="J112" s="144"/>
      <c r="K112" s="159" t="str">
        <f aca="false">IF(C112="","",N(C112)/IF(N112&lt;&gt;"",N112,IF(J112="",1,IFERROR(INDEX(Setup!$C$23:$C$46,MATCH(J112,Setup!$A$23:$A$46,0)),1))))</f>
        <v/>
      </c>
      <c r="L112" s="144"/>
      <c r="M112" s="108"/>
      <c r="N112" s="111"/>
      <c r="O112" s="156" t="str">
        <f aca="false">IF(OR(B112="",L112="Transfer"),"",IF(COUNTIFS($B$5:$B$604,B112,$H$5:$H$604,EDATE(H112,-1),$C$5:$C$604,"&gt;="&amp;C112*0.85,$C$5:$C$604,"&lt;="&amp;C112*1.15)&gt;0,"recurring",""))</f>
        <v/>
      </c>
      <c r="P112" s="157" t="str">
        <f aca="false">IF(B112="","",IF(COUNTIF(B112:$B$604,B112)=1,1,""))</f>
        <v/>
      </c>
      <c r="Q112" s="157" t="str">
        <f aca="false">IF(AND(O112="recurring",P112=1),COUNTIFS($O$5:O112,"recurring",$P$5:P112,1),"")</f>
        <v/>
      </c>
    </row>
    <row r="113" customFormat="false" ht="15" hidden="false" customHeight="false" outlineLevel="0" collapsed="false">
      <c r="A113" s="110"/>
      <c r="B113" s="108"/>
      <c r="C113" s="142"/>
      <c r="D113" s="108"/>
      <c r="E113" s="183" t="str">
        <f aca="false" t="array" ref="E113:E113">IF(B113="","",IFERROR(INDEX(Keywords!$B$5:$B$165,MAX(ISNUMBER(SEARCH(Keywords!$A$5:$A$165,B113))*(Keywords!$A$5:$A$165&lt;&gt;"")*ROW(Keywords!$A$5:$A$165))-4),""))</f>
        <v/>
      </c>
      <c r="F113" s="150" t="str">
        <f aca="false">IF(B113="","",IF(L113="Transfer","Transfer",IF(L113="Income","Income",IF(D113&lt;&gt;"",D113,IF(E113&lt;&gt;"",E113,"Uncategorized")))))</f>
        <v/>
      </c>
      <c r="G113" s="108"/>
      <c r="H113" s="184" t="str">
        <f aca="false">IF(A113="","",DATE(YEAR(A113),MONTH(A113),1))</f>
        <v/>
      </c>
      <c r="I113" s="185"/>
      <c r="J113" s="144"/>
      <c r="K113" s="159" t="str">
        <f aca="false">IF(C113="","",N(C113)/IF(N113&lt;&gt;"",N113,IF(J113="",1,IFERROR(INDEX(Setup!$C$23:$C$46,MATCH(J113,Setup!$A$23:$A$46,0)),1))))</f>
        <v/>
      </c>
      <c r="L113" s="144"/>
      <c r="M113" s="108"/>
      <c r="N113" s="111"/>
      <c r="O113" s="156" t="str">
        <f aca="false">IF(OR(B113="",L113="Transfer"),"",IF(COUNTIFS($B$5:$B$604,B113,$H$5:$H$604,EDATE(H113,-1),$C$5:$C$604,"&gt;="&amp;C113*0.85,$C$5:$C$604,"&lt;="&amp;C113*1.15)&gt;0,"recurring",""))</f>
        <v/>
      </c>
      <c r="P113" s="157" t="str">
        <f aca="false">IF(B113="","",IF(COUNTIF(B113:$B$604,B113)=1,1,""))</f>
        <v/>
      </c>
      <c r="Q113" s="157" t="str">
        <f aca="false">IF(AND(O113="recurring",P113=1),COUNTIFS($O$5:O113,"recurring",$P$5:P113,1),"")</f>
        <v/>
      </c>
    </row>
    <row r="114" customFormat="false" ht="15" hidden="false" customHeight="false" outlineLevel="0" collapsed="false">
      <c r="A114" s="110"/>
      <c r="B114" s="108"/>
      <c r="C114" s="142"/>
      <c r="D114" s="108"/>
      <c r="E114" s="183" t="str">
        <f aca="false" t="array" ref="E114:E114">IF(B114="","",IFERROR(INDEX(Keywords!$B$5:$B$165,MAX(ISNUMBER(SEARCH(Keywords!$A$5:$A$165,B114))*(Keywords!$A$5:$A$165&lt;&gt;"")*ROW(Keywords!$A$5:$A$165))-4),""))</f>
        <v/>
      </c>
      <c r="F114" s="150" t="str">
        <f aca="false">IF(B114="","",IF(L114="Transfer","Transfer",IF(L114="Income","Income",IF(D114&lt;&gt;"",D114,IF(E114&lt;&gt;"",E114,"Uncategorized")))))</f>
        <v/>
      </c>
      <c r="G114" s="108"/>
      <c r="H114" s="184" t="str">
        <f aca="false">IF(A114="","",DATE(YEAR(A114),MONTH(A114),1))</f>
        <v/>
      </c>
      <c r="I114" s="185"/>
      <c r="J114" s="144"/>
      <c r="K114" s="159" t="str">
        <f aca="false">IF(C114="","",N(C114)/IF(N114&lt;&gt;"",N114,IF(J114="",1,IFERROR(INDEX(Setup!$C$23:$C$46,MATCH(J114,Setup!$A$23:$A$46,0)),1))))</f>
        <v/>
      </c>
      <c r="L114" s="144"/>
      <c r="M114" s="108"/>
      <c r="N114" s="111"/>
      <c r="O114" s="156" t="str">
        <f aca="false">IF(OR(B114="",L114="Transfer"),"",IF(COUNTIFS($B$5:$B$604,B114,$H$5:$H$604,EDATE(H114,-1),$C$5:$C$604,"&gt;="&amp;C114*0.85,$C$5:$C$604,"&lt;="&amp;C114*1.15)&gt;0,"recurring",""))</f>
        <v/>
      </c>
      <c r="P114" s="157" t="str">
        <f aca="false">IF(B114="","",IF(COUNTIF(B114:$B$604,B114)=1,1,""))</f>
        <v/>
      </c>
      <c r="Q114" s="157" t="str">
        <f aca="false">IF(AND(O114="recurring",P114=1),COUNTIFS($O$5:O114,"recurring",$P$5:P114,1),"")</f>
        <v/>
      </c>
    </row>
    <row r="115" customFormat="false" ht="15" hidden="false" customHeight="false" outlineLevel="0" collapsed="false">
      <c r="A115" s="110"/>
      <c r="B115" s="108"/>
      <c r="C115" s="142"/>
      <c r="D115" s="108"/>
      <c r="E115" s="183" t="str">
        <f aca="false" t="array" ref="E115:E115">IF(B115="","",IFERROR(INDEX(Keywords!$B$5:$B$165,MAX(ISNUMBER(SEARCH(Keywords!$A$5:$A$165,B115))*(Keywords!$A$5:$A$165&lt;&gt;"")*ROW(Keywords!$A$5:$A$165))-4),""))</f>
        <v/>
      </c>
      <c r="F115" s="150" t="str">
        <f aca="false">IF(B115="","",IF(L115="Transfer","Transfer",IF(L115="Income","Income",IF(D115&lt;&gt;"",D115,IF(E115&lt;&gt;"",E115,"Uncategorized")))))</f>
        <v/>
      </c>
      <c r="G115" s="108"/>
      <c r="H115" s="184" t="str">
        <f aca="false">IF(A115="","",DATE(YEAR(A115),MONTH(A115),1))</f>
        <v/>
      </c>
      <c r="I115" s="185"/>
      <c r="J115" s="144"/>
      <c r="K115" s="159" t="str">
        <f aca="false">IF(C115="","",N(C115)/IF(N115&lt;&gt;"",N115,IF(J115="",1,IFERROR(INDEX(Setup!$C$23:$C$46,MATCH(J115,Setup!$A$23:$A$46,0)),1))))</f>
        <v/>
      </c>
      <c r="L115" s="144"/>
      <c r="M115" s="108"/>
      <c r="N115" s="111"/>
      <c r="O115" s="156" t="str">
        <f aca="false">IF(OR(B115="",L115="Transfer"),"",IF(COUNTIFS($B$5:$B$604,B115,$H$5:$H$604,EDATE(H115,-1),$C$5:$C$604,"&gt;="&amp;C115*0.85,$C$5:$C$604,"&lt;="&amp;C115*1.15)&gt;0,"recurring",""))</f>
        <v/>
      </c>
      <c r="P115" s="157" t="str">
        <f aca="false">IF(B115="","",IF(COUNTIF(B115:$B$604,B115)=1,1,""))</f>
        <v/>
      </c>
      <c r="Q115" s="157" t="str">
        <f aca="false">IF(AND(O115="recurring",P115=1),COUNTIFS($O$5:O115,"recurring",$P$5:P115,1),"")</f>
        <v/>
      </c>
    </row>
    <row r="116" customFormat="false" ht="15" hidden="false" customHeight="false" outlineLevel="0" collapsed="false">
      <c r="A116" s="110"/>
      <c r="B116" s="108"/>
      <c r="C116" s="142"/>
      <c r="D116" s="108"/>
      <c r="E116" s="183" t="str">
        <f aca="false" t="array" ref="E116:E116">IF(B116="","",IFERROR(INDEX(Keywords!$B$5:$B$165,MAX(ISNUMBER(SEARCH(Keywords!$A$5:$A$165,B116))*(Keywords!$A$5:$A$165&lt;&gt;"")*ROW(Keywords!$A$5:$A$165))-4),""))</f>
        <v/>
      </c>
      <c r="F116" s="150" t="str">
        <f aca="false">IF(B116="","",IF(L116="Transfer","Transfer",IF(L116="Income","Income",IF(D116&lt;&gt;"",D116,IF(E116&lt;&gt;"",E116,"Uncategorized")))))</f>
        <v/>
      </c>
      <c r="G116" s="108"/>
      <c r="H116" s="184" t="str">
        <f aca="false">IF(A116="","",DATE(YEAR(A116),MONTH(A116),1))</f>
        <v/>
      </c>
      <c r="I116" s="185"/>
      <c r="J116" s="144"/>
      <c r="K116" s="159" t="str">
        <f aca="false">IF(C116="","",N(C116)/IF(N116&lt;&gt;"",N116,IF(J116="",1,IFERROR(INDEX(Setup!$C$23:$C$46,MATCH(J116,Setup!$A$23:$A$46,0)),1))))</f>
        <v/>
      </c>
      <c r="L116" s="144"/>
      <c r="M116" s="108"/>
      <c r="N116" s="111"/>
      <c r="O116" s="156" t="str">
        <f aca="false">IF(OR(B116="",L116="Transfer"),"",IF(COUNTIFS($B$5:$B$604,B116,$H$5:$H$604,EDATE(H116,-1),$C$5:$C$604,"&gt;="&amp;C116*0.85,$C$5:$C$604,"&lt;="&amp;C116*1.15)&gt;0,"recurring",""))</f>
        <v/>
      </c>
      <c r="P116" s="157" t="str">
        <f aca="false">IF(B116="","",IF(COUNTIF(B116:$B$604,B116)=1,1,""))</f>
        <v/>
      </c>
      <c r="Q116" s="157" t="str">
        <f aca="false">IF(AND(O116="recurring",P116=1),COUNTIFS($O$5:O116,"recurring",$P$5:P116,1),"")</f>
        <v/>
      </c>
    </row>
    <row r="117" customFormat="false" ht="15" hidden="false" customHeight="false" outlineLevel="0" collapsed="false">
      <c r="A117" s="110"/>
      <c r="B117" s="108"/>
      <c r="C117" s="142"/>
      <c r="D117" s="108"/>
      <c r="E117" s="183" t="str">
        <f aca="false" t="array" ref="E117:E117">IF(B117="","",IFERROR(INDEX(Keywords!$B$5:$B$165,MAX(ISNUMBER(SEARCH(Keywords!$A$5:$A$165,B117))*(Keywords!$A$5:$A$165&lt;&gt;"")*ROW(Keywords!$A$5:$A$165))-4),""))</f>
        <v/>
      </c>
      <c r="F117" s="150" t="str">
        <f aca="false">IF(B117="","",IF(L117="Transfer","Transfer",IF(L117="Income","Income",IF(D117&lt;&gt;"",D117,IF(E117&lt;&gt;"",E117,"Uncategorized")))))</f>
        <v/>
      </c>
      <c r="G117" s="108"/>
      <c r="H117" s="184" t="str">
        <f aca="false">IF(A117="","",DATE(YEAR(A117),MONTH(A117),1))</f>
        <v/>
      </c>
      <c r="I117" s="185"/>
      <c r="J117" s="144"/>
      <c r="K117" s="159" t="str">
        <f aca="false">IF(C117="","",N(C117)/IF(N117&lt;&gt;"",N117,IF(J117="",1,IFERROR(INDEX(Setup!$C$23:$C$46,MATCH(J117,Setup!$A$23:$A$46,0)),1))))</f>
        <v/>
      </c>
      <c r="L117" s="144"/>
      <c r="M117" s="108"/>
      <c r="N117" s="111"/>
      <c r="O117" s="156" t="str">
        <f aca="false">IF(OR(B117="",L117="Transfer"),"",IF(COUNTIFS($B$5:$B$604,B117,$H$5:$H$604,EDATE(H117,-1),$C$5:$C$604,"&gt;="&amp;C117*0.85,$C$5:$C$604,"&lt;="&amp;C117*1.15)&gt;0,"recurring",""))</f>
        <v/>
      </c>
      <c r="P117" s="157" t="str">
        <f aca="false">IF(B117="","",IF(COUNTIF(B117:$B$604,B117)=1,1,""))</f>
        <v/>
      </c>
      <c r="Q117" s="157" t="str">
        <f aca="false">IF(AND(O117="recurring",P117=1),COUNTIFS($O$5:O117,"recurring",$P$5:P117,1),"")</f>
        <v/>
      </c>
    </row>
    <row r="118" customFormat="false" ht="15" hidden="false" customHeight="false" outlineLevel="0" collapsed="false">
      <c r="A118" s="110"/>
      <c r="B118" s="108"/>
      <c r="C118" s="142"/>
      <c r="D118" s="108"/>
      <c r="E118" s="183" t="str">
        <f aca="false" t="array" ref="E118:E118">IF(B118="","",IFERROR(INDEX(Keywords!$B$5:$B$165,MAX(ISNUMBER(SEARCH(Keywords!$A$5:$A$165,B118))*(Keywords!$A$5:$A$165&lt;&gt;"")*ROW(Keywords!$A$5:$A$165))-4),""))</f>
        <v/>
      </c>
      <c r="F118" s="150" t="str">
        <f aca="false">IF(B118="","",IF(L118="Transfer","Transfer",IF(L118="Income","Income",IF(D118&lt;&gt;"",D118,IF(E118&lt;&gt;"",E118,"Uncategorized")))))</f>
        <v/>
      </c>
      <c r="G118" s="108"/>
      <c r="H118" s="184" t="str">
        <f aca="false">IF(A118="","",DATE(YEAR(A118),MONTH(A118),1))</f>
        <v/>
      </c>
      <c r="I118" s="185"/>
      <c r="J118" s="144"/>
      <c r="K118" s="159" t="str">
        <f aca="false">IF(C118="","",N(C118)/IF(N118&lt;&gt;"",N118,IF(J118="",1,IFERROR(INDEX(Setup!$C$23:$C$46,MATCH(J118,Setup!$A$23:$A$46,0)),1))))</f>
        <v/>
      </c>
      <c r="L118" s="144"/>
      <c r="M118" s="108"/>
      <c r="N118" s="111"/>
      <c r="O118" s="156" t="str">
        <f aca="false">IF(OR(B118="",L118="Transfer"),"",IF(COUNTIFS($B$5:$B$604,B118,$H$5:$H$604,EDATE(H118,-1),$C$5:$C$604,"&gt;="&amp;C118*0.85,$C$5:$C$604,"&lt;="&amp;C118*1.15)&gt;0,"recurring",""))</f>
        <v/>
      </c>
      <c r="P118" s="157" t="str">
        <f aca="false">IF(B118="","",IF(COUNTIF(B118:$B$604,B118)=1,1,""))</f>
        <v/>
      </c>
      <c r="Q118" s="157" t="str">
        <f aca="false">IF(AND(O118="recurring",P118=1),COUNTIFS($O$5:O118,"recurring",$P$5:P118,1),"")</f>
        <v/>
      </c>
    </row>
    <row r="119" customFormat="false" ht="15" hidden="false" customHeight="false" outlineLevel="0" collapsed="false">
      <c r="A119" s="110"/>
      <c r="B119" s="108"/>
      <c r="C119" s="142"/>
      <c r="D119" s="108"/>
      <c r="E119" s="183" t="str">
        <f aca="false" t="array" ref="E119:E119">IF(B119="","",IFERROR(INDEX(Keywords!$B$5:$B$165,MAX(ISNUMBER(SEARCH(Keywords!$A$5:$A$165,B119))*(Keywords!$A$5:$A$165&lt;&gt;"")*ROW(Keywords!$A$5:$A$165))-4),""))</f>
        <v/>
      </c>
      <c r="F119" s="150" t="str">
        <f aca="false">IF(B119="","",IF(L119="Transfer","Transfer",IF(L119="Income","Income",IF(D119&lt;&gt;"",D119,IF(E119&lt;&gt;"",E119,"Uncategorized")))))</f>
        <v/>
      </c>
      <c r="G119" s="108"/>
      <c r="H119" s="184" t="str">
        <f aca="false">IF(A119="","",DATE(YEAR(A119),MONTH(A119),1))</f>
        <v/>
      </c>
      <c r="I119" s="185"/>
      <c r="J119" s="144"/>
      <c r="K119" s="159" t="str">
        <f aca="false">IF(C119="","",N(C119)/IF(N119&lt;&gt;"",N119,IF(J119="",1,IFERROR(INDEX(Setup!$C$23:$C$46,MATCH(J119,Setup!$A$23:$A$46,0)),1))))</f>
        <v/>
      </c>
      <c r="L119" s="144"/>
      <c r="M119" s="108"/>
      <c r="N119" s="111"/>
      <c r="O119" s="156" t="str">
        <f aca="false">IF(OR(B119="",L119="Transfer"),"",IF(COUNTIFS($B$5:$B$604,B119,$H$5:$H$604,EDATE(H119,-1),$C$5:$C$604,"&gt;="&amp;C119*0.85,$C$5:$C$604,"&lt;="&amp;C119*1.15)&gt;0,"recurring",""))</f>
        <v/>
      </c>
      <c r="P119" s="157" t="str">
        <f aca="false">IF(B119="","",IF(COUNTIF(B119:$B$604,B119)=1,1,""))</f>
        <v/>
      </c>
      <c r="Q119" s="157" t="str">
        <f aca="false">IF(AND(O119="recurring",P119=1),COUNTIFS($O$5:O119,"recurring",$P$5:P119,1),"")</f>
        <v/>
      </c>
    </row>
    <row r="120" customFormat="false" ht="15" hidden="false" customHeight="false" outlineLevel="0" collapsed="false">
      <c r="A120" s="110"/>
      <c r="B120" s="108"/>
      <c r="C120" s="142"/>
      <c r="D120" s="108"/>
      <c r="E120" s="183" t="str">
        <f aca="false" t="array" ref="E120:E120">IF(B120="","",IFERROR(INDEX(Keywords!$B$5:$B$165,MAX(ISNUMBER(SEARCH(Keywords!$A$5:$A$165,B120))*(Keywords!$A$5:$A$165&lt;&gt;"")*ROW(Keywords!$A$5:$A$165))-4),""))</f>
        <v/>
      </c>
      <c r="F120" s="150" t="str">
        <f aca="false">IF(B120="","",IF(L120="Transfer","Transfer",IF(L120="Income","Income",IF(D120&lt;&gt;"",D120,IF(E120&lt;&gt;"",E120,"Uncategorized")))))</f>
        <v/>
      </c>
      <c r="G120" s="108"/>
      <c r="H120" s="184" t="str">
        <f aca="false">IF(A120="","",DATE(YEAR(A120),MONTH(A120),1))</f>
        <v/>
      </c>
      <c r="I120" s="185"/>
      <c r="J120" s="144"/>
      <c r="K120" s="159" t="str">
        <f aca="false">IF(C120="","",N(C120)/IF(N120&lt;&gt;"",N120,IF(J120="",1,IFERROR(INDEX(Setup!$C$23:$C$46,MATCH(J120,Setup!$A$23:$A$46,0)),1))))</f>
        <v/>
      </c>
      <c r="L120" s="144"/>
      <c r="M120" s="108"/>
      <c r="N120" s="111"/>
      <c r="O120" s="156" t="str">
        <f aca="false">IF(OR(B120="",L120="Transfer"),"",IF(COUNTIFS($B$5:$B$604,B120,$H$5:$H$604,EDATE(H120,-1),$C$5:$C$604,"&gt;="&amp;C120*0.85,$C$5:$C$604,"&lt;="&amp;C120*1.15)&gt;0,"recurring",""))</f>
        <v/>
      </c>
      <c r="P120" s="157" t="str">
        <f aca="false">IF(B120="","",IF(COUNTIF(B120:$B$604,B120)=1,1,""))</f>
        <v/>
      </c>
      <c r="Q120" s="157" t="str">
        <f aca="false">IF(AND(O120="recurring",P120=1),COUNTIFS($O$5:O120,"recurring",$P$5:P120,1),"")</f>
        <v/>
      </c>
    </row>
    <row r="121" customFormat="false" ht="15" hidden="false" customHeight="false" outlineLevel="0" collapsed="false">
      <c r="A121" s="110"/>
      <c r="B121" s="108"/>
      <c r="C121" s="142"/>
      <c r="D121" s="108"/>
      <c r="E121" s="183" t="str">
        <f aca="false" t="array" ref="E121:E121">IF(B121="","",IFERROR(INDEX(Keywords!$B$5:$B$165,MAX(ISNUMBER(SEARCH(Keywords!$A$5:$A$165,B121))*(Keywords!$A$5:$A$165&lt;&gt;"")*ROW(Keywords!$A$5:$A$165))-4),""))</f>
        <v/>
      </c>
      <c r="F121" s="150" t="str">
        <f aca="false">IF(B121="","",IF(L121="Transfer","Transfer",IF(L121="Income","Income",IF(D121&lt;&gt;"",D121,IF(E121&lt;&gt;"",E121,"Uncategorized")))))</f>
        <v/>
      </c>
      <c r="G121" s="108"/>
      <c r="H121" s="184" t="str">
        <f aca="false">IF(A121="","",DATE(YEAR(A121),MONTH(A121),1))</f>
        <v/>
      </c>
      <c r="I121" s="185"/>
      <c r="J121" s="144"/>
      <c r="K121" s="159" t="str">
        <f aca="false">IF(C121="","",N(C121)/IF(N121&lt;&gt;"",N121,IF(J121="",1,IFERROR(INDEX(Setup!$C$23:$C$46,MATCH(J121,Setup!$A$23:$A$46,0)),1))))</f>
        <v/>
      </c>
      <c r="L121" s="144"/>
      <c r="M121" s="108"/>
      <c r="N121" s="111"/>
      <c r="O121" s="156" t="str">
        <f aca="false">IF(OR(B121="",L121="Transfer"),"",IF(COUNTIFS($B$5:$B$604,B121,$H$5:$H$604,EDATE(H121,-1),$C$5:$C$604,"&gt;="&amp;C121*0.85,$C$5:$C$604,"&lt;="&amp;C121*1.15)&gt;0,"recurring",""))</f>
        <v/>
      </c>
      <c r="P121" s="157" t="str">
        <f aca="false">IF(B121="","",IF(COUNTIF(B121:$B$604,B121)=1,1,""))</f>
        <v/>
      </c>
      <c r="Q121" s="157" t="str">
        <f aca="false">IF(AND(O121="recurring",P121=1),COUNTIFS($O$5:O121,"recurring",$P$5:P121,1),"")</f>
        <v/>
      </c>
    </row>
    <row r="122" customFormat="false" ht="15" hidden="false" customHeight="false" outlineLevel="0" collapsed="false">
      <c r="A122" s="110"/>
      <c r="B122" s="108"/>
      <c r="C122" s="142"/>
      <c r="D122" s="108"/>
      <c r="E122" s="183" t="str">
        <f aca="false" t="array" ref="E122:E122">IF(B122="","",IFERROR(INDEX(Keywords!$B$5:$B$165,MAX(ISNUMBER(SEARCH(Keywords!$A$5:$A$165,B122))*(Keywords!$A$5:$A$165&lt;&gt;"")*ROW(Keywords!$A$5:$A$165))-4),""))</f>
        <v/>
      </c>
      <c r="F122" s="150" t="str">
        <f aca="false">IF(B122="","",IF(L122="Transfer","Transfer",IF(L122="Income","Income",IF(D122&lt;&gt;"",D122,IF(E122&lt;&gt;"",E122,"Uncategorized")))))</f>
        <v/>
      </c>
      <c r="G122" s="108"/>
      <c r="H122" s="184" t="str">
        <f aca="false">IF(A122="","",DATE(YEAR(A122),MONTH(A122),1))</f>
        <v/>
      </c>
      <c r="I122" s="185"/>
      <c r="J122" s="144"/>
      <c r="K122" s="159" t="str">
        <f aca="false">IF(C122="","",N(C122)/IF(N122&lt;&gt;"",N122,IF(J122="",1,IFERROR(INDEX(Setup!$C$23:$C$46,MATCH(J122,Setup!$A$23:$A$46,0)),1))))</f>
        <v/>
      </c>
      <c r="L122" s="144"/>
      <c r="M122" s="108"/>
      <c r="N122" s="111"/>
      <c r="O122" s="156" t="str">
        <f aca="false">IF(OR(B122="",L122="Transfer"),"",IF(COUNTIFS($B$5:$B$604,B122,$H$5:$H$604,EDATE(H122,-1),$C$5:$C$604,"&gt;="&amp;C122*0.85,$C$5:$C$604,"&lt;="&amp;C122*1.15)&gt;0,"recurring",""))</f>
        <v/>
      </c>
      <c r="P122" s="157" t="str">
        <f aca="false">IF(B122="","",IF(COUNTIF(B122:$B$604,B122)=1,1,""))</f>
        <v/>
      </c>
      <c r="Q122" s="157" t="str">
        <f aca="false">IF(AND(O122="recurring",P122=1),COUNTIFS($O$5:O122,"recurring",$P$5:P122,1),"")</f>
        <v/>
      </c>
    </row>
    <row r="123" customFormat="false" ht="15" hidden="false" customHeight="false" outlineLevel="0" collapsed="false">
      <c r="A123" s="110"/>
      <c r="B123" s="108"/>
      <c r="C123" s="142"/>
      <c r="D123" s="108"/>
      <c r="E123" s="183" t="str">
        <f aca="false" t="array" ref="E123:E123">IF(B123="","",IFERROR(INDEX(Keywords!$B$5:$B$165,MAX(ISNUMBER(SEARCH(Keywords!$A$5:$A$165,B123))*(Keywords!$A$5:$A$165&lt;&gt;"")*ROW(Keywords!$A$5:$A$165))-4),""))</f>
        <v/>
      </c>
      <c r="F123" s="150" t="str">
        <f aca="false">IF(B123="","",IF(L123="Transfer","Transfer",IF(L123="Income","Income",IF(D123&lt;&gt;"",D123,IF(E123&lt;&gt;"",E123,"Uncategorized")))))</f>
        <v/>
      </c>
      <c r="G123" s="108"/>
      <c r="H123" s="184" t="str">
        <f aca="false">IF(A123="","",DATE(YEAR(A123),MONTH(A123),1))</f>
        <v/>
      </c>
      <c r="I123" s="185"/>
      <c r="J123" s="144"/>
      <c r="K123" s="159" t="str">
        <f aca="false">IF(C123="","",N(C123)/IF(N123&lt;&gt;"",N123,IF(J123="",1,IFERROR(INDEX(Setup!$C$23:$C$46,MATCH(J123,Setup!$A$23:$A$46,0)),1))))</f>
        <v/>
      </c>
      <c r="L123" s="144"/>
      <c r="M123" s="108"/>
      <c r="N123" s="111"/>
      <c r="O123" s="156" t="str">
        <f aca="false">IF(OR(B123="",L123="Transfer"),"",IF(COUNTIFS($B$5:$B$604,B123,$H$5:$H$604,EDATE(H123,-1),$C$5:$C$604,"&gt;="&amp;C123*0.85,$C$5:$C$604,"&lt;="&amp;C123*1.15)&gt;0,"recurring",""))</f>
        <v/>
      </c>
      <c r="P123" s="157" t="str">
        <f aca="false">IF(B123="","",IF(COUNTIF(B123:$B$604,B123)=1,1,""))</f>
        <v/>
      </c>
      <c r="Q123" s="157" t="str">
        <f aca="false">IF(AND(O123="recurring",P123=1),COUNTIFS($O$5:O123,"recurring",$P$5:P123,1),"")</f>
        <v/>
      </c>
    </row>
    <row r="124" customFormat="false" ht="15" hidden="false" customHeight="false" outlineLevel="0" collapsed="false">
      <c r="A124" s="110"/>
      <c r="B124" s="108"/>
      <c r="C124" s="142"/>
      <c r="D124" s="108"/>
      <c r="E124" s="183" t="str">
        <f aca="false" t="array" ref="E124:E124">IF(B124="","",IFERROR(INDEX(Keywords!$B$5:$B$165,MAX(ISNUMBER(SEARCH(Keywords!$A$5:$A$165,B124))*(Keywords!$A$5:$A$165&lt;&gt;"")*ROW(Keywords!$A$5:$A$165))-4),""))</f>
        <v/>
      </c>
      <c r="F124" s="150" t="str">
        <f aca="false">IF(B124="","",IF(L124="Transfer","Transfer",IF(L124="Income","Income",IF(D124&lt;&gt;"",D124,IF(E124&lt;&gt;"",E124,"Uncategorized")))))</f>
        <v/>
      </c>
      <c r="G124" s="108"/>
      <c r="H124" s="184" t="str">
        <f aca="false">IF(A124="","",DATE(YEAR(A124),MONTH(A124),1))</f>
        <v/>
      </c>
      <c r="I124" s="185"/>
      <c r="J124" s="144"/>
      <c r="K124" s="159" t="str">
        <f aca="false">IF(C124="","",N(C124)/IF(N124&lt;&gt;"",N124,IF(J124="",1,IFERROR(INDEX(Setup!$C$23:$C$46,MATCH(J124,Setup!$A$23:$A$46,0)),1))))</f>
        <v/>
      </c>
      <c r="L124" s="144"/>
      <c r="M124" s="108"/>
      <c r="N124" s="111"/>
      <c r="O124" s="156" t="str">
        <f aca="false">IF(OR(B124="",L124="Transfer"),"",IF(COUNTIFS($B$5:$B$604,B124,$H$5:$H$604,EDATE(H124,-1),$C$5:$C$604,"&gt;="&amp;C124*0.85,$C$5:$C$604,"&lt;="&amp;C124*1.15)&gt;0,"recurring",""))</f>
        <v/>
      </c>
      <c r="P124" s="157" t="str">
        <f aca="false">IF(B124="","",IF(COUNTIF(B124:$B$604,B124)=1,1,""))</f>
        <v/>
      </c>
      <c r="Q124" s="157" t="str">
        <f aca="false">IF(AND(O124="recurring",P124=1),COUNTIFS($O$5:O124,"recurring",$P$5:P124,1),"")</f>
        <v/>
      </c>
    </row>
    <row r="125" customFormat="false" ht="15" hidden="false" customHeight="false" outlineLevel="0" collapsed="false">
      <c r="A125" s="110"/>
      <c r="B125" s="108"/>
      <c r="C125" s="142"/>
      <c r="D125" s="108"/>
      <c r="E125" s="183" t="str">
        <f aca="false" t="array" ref="E125:E125">IF(B125="","",IFERROR(INDEX(Keywords!$B$5:$B$165,MAX(ISNUMBER(SEARCH(Keywords!$A$5:$A$165,B125))*(Keywords!$A$5:$A$165&lt;&gt;"")*ROW(Keywords!$A$5:$A$165))-4),""))</f>
        <v/>
      </c>
      <c r="F125" s="150" t="str">
        <f aca="false">IF(B125="","",IF(L125="Transfer","Transfer",IF(L125="Income","Income",IF(D125&lt;&gt;"",D125,IF(E125&lt;&gt;"",E125,"Uncategorized")))))</f>
        <v/>
      </c>
      <c r="G125" s="108"/>
      <c r="H125" s="184" t="str">
        <f aca="false">IF(A125="","",DATE(YEAR(A125),MONTH(A125),1))</f>
        <v/>
      </c>
      <c r="I125" s="185"/>
      <c r="J125" s="144"/>
      <c r="K125" s="159" t="str">
        <f aca="false">IF(C125="","",N(C125)/IF(N125&lt;&gt;"",N125,IF(J125="",1,IFERROR(INDEX(Setup!$C$23:$C$46,MATCH(J125,Setup!$A$23:$A$46,0)),1))))</f>
        <v/>
      </c>
      <c r="L125" s="144"/>
      <c r="M125" s="108"/>
      <c r="N125" s="111"/>
      <c r="O125" s="156" t="str">
        <f aca="false">IF(OR(B125="",L125="Transfer"),"",IF(COUNTIFS($B$5:$B$604,B125,$H$5:$H$604,EDATE(H125,-1),$C$5:$C$604,"&gt;="&amp;C125*0.85,$C$5:$C$604,"&lt;="&amp;C125*1.15)&gt;0,"recurring",""))</f>
        <v/>
      </c>
      <c r="P125" s="157" t="str">
        <f aca="false">IF(B125="","",IF(COUNTIF(B125:$B$604,B125)=1,1,""))</f>
        <v/>
      </c>
      <c r="Q125" s="157" t="str">
        <f aca="false">IF(AND(O125="recurring",P125=1),COUNTIFS($O$5:O125,"recurring",$P$5:P125,1),"")</f>
        <v/>
      </c>
    </row>
    <row r="126" customFormat="false" ht="15" hidden="false" customHeight="false" outlineLevel="0" collapsed="false">
      <c r="A126" s="110"/>
      <c r="B126" s="108"/>
      <c r="C126" s="142"/>
      <c r="D126" s="108"/>
      <c r="E126" s="183" t="str">
        <f aca="false" t="array" ref="E126:E126">IF(B126="","",IFERROR(INDEX(Keywords!$B$5:$B$165,MAX(ISNUMBER(SEARCH(Keywords!$A$5:$A$165,B126))*(Keywords!$A$5:$A$165&lt;&gt;"")*ROW(Keywords!$A$5:$A$165))-4),""))</f>
        <v/>
      </c>
      <c r="F126" s="150" t="str">
        <f aca="false">IF(B126="","",IF(L126="Transfer","Transfer",IF(L126="Income","Income",IF(D126&lt;&gt;"",D126,IF(E126&lt;&gt;"",E126,"Uncategorized")))))</f>
        <v/>
      </c>
      <c r="G126" s="108"/>
      <c r="H126" s="184" t="str">
        <f aca="false">IF(A126="","",DATE(YEAR(A126),MONTH(A126),1))</f>
        <v/>
      </c>
      <c r="I126" s="185"/>
      <c r="J126" s="144"/>
      <c r="K126" s="159" t="str">
        <f aca="false">IF(C126="","",N(C126)/IF(N126&lt;&gt;"",N126,IF(J126="",1,IFERROR(INDEX(Setup!$C$23:$C$46,MATCH(J126,Setup!$A$23:$A$46,0)),1))))</f>
        <v/>
      </c>
      <c r="L126" s="144"/>
      <c r="M126" s="108"/>
      <c r="N126" s="111"/>
      <c r="O126" s="156" t="str">
        <f aca="false">IF(OR(B126="",L126="Transfer"),"",IF(COUNTIFS($B$5:$B$604,B126,$H$5:$H$604,EDATE(H126,-1),$C$5:$C$604,"&gt;="&amp;C126*0.85,$C$5:$C$604,"&lt;="&amp;C126*1.15)&gt;0,"recurring",""))</f>
        <v/>
      </c>
      <c r="P126" s="157" t="str">
        <f aca="false">IF(B126="","",IF(COUNTIF(B126:$B$604,B126)=1,1,""))</f>
        <v/>
      </c>
      <c r="Q126" s="157" t="str">
        <f aca="false">IF(AND(O126="recurring",P126=1),COUNTIFS($O$5:O126,"recurring",$P$5:P126,1),"")</f>
        <v/>
      </c>
    </row>
    <row r="127" customFormat="false" ht="15" hidden="false" customHeight="false" outlineLevel="0" collapsed="false">
      <c r="A127" s="110"/>
      <c r="B127" s="108"/>
      <c r="C127" s="142"/>
      <c r="D127" s="108"/>
      <c r="E127" s="183" t="str">
        <f aca="false" t="array" ref="E127:E127">IF(B127="","",IFERROR(INDEX(Keywords!$B$5:$B$165,MAX(ISNUMBER(SEARCH(Keywords!$A$5:$A$165,B127))*(Keywords!$A$5:$A$165&lt;&gt;"")*ROW(Keywords!$A$5:$A$165))-4),""))</f>
        <v/>
      </c>
      <c r="F127" s="150" t="str">
        <f aca="false">IF(B127="","",IF(L127="Transfer","Transfer",IF(L127="Income","Income",IF(D127&lt;&gt;"",D127,IF(E127&lt;&gt;"",E127,"Uncategorized")))))</f>
        <v/>
      </c>
      <c r="G127" s="108"/>
      <c r="H127" s="184" t="str">
        <f aca="false">IF(A127="","",DATE(YEAR(A127),MONTH(A127),1))</f>
        <v/>
      </c>
      <c r="I127" s="185"/>
      <c r="J127" s="144"/>
      <c r="K127" s="159" t="str">
        <f aca="false">IF(C127="","",N(C127)/IF(N127&lt;&gt;"",N127,IF(J127="",1,IFERROR(INDEX(Setup!$C$23:$C$46,MATCH(J127,Setup!$A$23:$A$46,0)),1))))</f>
        <v/>
      </c>
      <c r="L127" s="144"/>
      <c r="M127" s="108"/>
      <c r="N127" s="111"/>
      <c r="O127" s="156" t="str">
        <f aca="false">IF(OR(B127="",L127="Transfer"),"",IF(COUNTIFS($B$5:$B$604,B127,$H$5:$H$604,EDATE(H127,-1),$C$5:$C$604,"&gt;="&amp;C127*0.85,$C$5:$C$604,"&lt;="&amp;C127*1.15)&gt;0,"recurring",""))</f>
        <v/>
      </c>
      <c r="P127" s="157" t="str">
        <f aca="false">IF(B127="","",IF(COUNTIF(B127:$B$604,B127)=1,1,""))</f>
        <v/>
      </c>
      <c r="Q127" s="157" t="str">
        <f aca="false">IF(AND(O127="recurring",P127=1),COUNTIFS($O$5:O127,"recurring",$P$5:P127,1),"")</f>
        <v/>
      </c>
    </row>
    <row r="128" customFormat="false" ht="15" hidden="false" customHeight="false" outlineLevel="0" collapsed="false">
      <c r="A128" s="110"/>
      <c r="B128" s="108"/>
      <c r="C128" s="142"/>
      <c r="D128" s="108"/>
      <c r="E128" s="183" t="str">
        <f aca="false" t="array" ref="E128:E128">IF(B128="","",IFERROR(INDEX(Keywords!$B$5:$B$165,MAX(ISNUMBER(SEARCH(Keywords!$A$5:$A$165,B128))*(Keywords!$A$5:$A$165&lt;&gt;"")*ROW(Keywords!$A$5:$A$165))-4),""))</f>
        <v/>
      </c>
      <c r="F128" s="150" t="str">
        <f aca="false">IF(B128="","",IF(L128="Transfer","Transfer",IF(L128="Income","Income",IF(D128&lt;&gt;"",D128,IF(E128&lt;&gt;"",E128,"Uncategorized")))))</f>
        <v/>
      </c>
      <c r="G128" s="108"/>
      <c r="H128" s="184" t="str">
        <f aca="false">IF(A128="","",DATE(YEAR(A128),MONTH(A128),1))</f>
        <v/>
      </c>
      <c r="I128" s="185"/>
      <c r="J128" s="144"/>
      <c r="K128" s="159" t="str">
        <f aca="false">IF(C128="","",N(C128)/IF(N128&lt;&gt;"",N128,IF(J128="",1,IFERROR(INDEX(Setup!$C$23:$C$46,MATCH(J128,Setup!$A$23:$A$46,0)),1))))</f>
        <v/>
      </c>
      <c r="L128" s="144"/>
      <c r="M128" s="108"/>
      <c r="N128" s="111"/>
      <c r="O128" s="156" t="str">
        <f aca="false">IF(OR(B128="",L128="Transfer"),"",IF(COUNTIFS($B$5:$B$604,B128,$H$5:$H$604,EDATE(H128,-1),$C$5:$C$604,"&gt;="&amp;C128*0.85,$C$5:$C$604,"&lt;="&amp;C128*1.15)&gt;0,"recurring",""))</f>
        <v/>
      </c>
      <c r="P128" s="157" t="str">
        <f aca="false">IF(B128="","",IF(COUNTIF(B128:$B$604,B128)=1,1,""))</f>
        <v/>
      </c>
      <c r="Q128" s="157" t="str">
        <f aca="false">IF(AND(O128="recurring",P128=1),COUNTIFS($O$5:O128,"recurring",$P$5:P128,1),"")</f>
        <v/>
      </c>
    </row>
    <row r="129" customFormat="false" ht="15" hidden="false" customHeight="false" outlineLevel="0" collapsed="false">
      <c r="A129" s="110"/>
      <c r="B129" s="108"/>
      <c r="C129" s="142"/>
      <c r="D129" s="108"/>
      <c r="E129" s="183" t="str">
        <f aca="false" t="array" ref="E129:E129">IF(B129="","",IFERROR(INDEX(Keywords!$B$5:$B$165,MAX(ISNUMBER(SEARCH(Keywords!$A$5:$A$165,B129))*(Keywords!$A$5:$A$165&lt;&gt;"")*ROW(Keywords!$A$5:$A$165))-4),""))</f>
        <v/>
      </c>
      <c r="F129" s="150" t="str">
        <f aca="false">IF(B129="","",IF(L129="Transfer","Transfer",IF(L129="Income","Income",IF(D129&lt;&gt;"",D129,IF(E129&lt;&gt;"",E129,"Uncategorized")))))</f>
        <v/>
      </c>
      <c r="G129" s="108"/>
      <c r="H129" s="184" t="str">
        <f aca="false">IF(A129="","",DATE(YEAR(A129),MONTH(A129),1))</f>
        <v/>
      </c>
      <c r="I129" s="185"/>
      <c r="J129" s="144"/>
      <c r="K129" s="159" t="str">
        <f aca="false">IF(C129="","",N(C129)/IF(N129&lt;&gt;"",N129,IF(J129="",1,IFERROR(INDEX(Setup!$C$23:$C$46,MATCH(J129,Setup!$A$23:$A$46,0)),1))))</f>
        <v/>
      </c>
      <c r="L129" s="144"/>
      <c r="M129" s="108"/>
      <c r="N129" s="111"/>
      <c r="O129" s="156" t="str">
        <f aca="false">IF(OR(B129="",L129="Transfer"),"",IF(COUNTIFS($B$5:$B$604,B129,$H$5:$H$604,EDATE(H129,-1),$C$5:$C$604,"&gt;="&amp;C129*0.85,$C$5:$C$604,"&lt;="&amp;C129*1.15)&gt;0,"recurring",""))</f>
        <v/>
      </c>
      <c r="P129" s="157" t="str">
        <f aca="false">IF(B129="","",IF(COUNTIF(B129:$B$604,B129)=1,1,""))</f>
        <v/>
      </c>
      <c r="Q129" s="157" t="str">
        <f aca="false">IF(AND(O129="recurring",P129=1),COUNTIFS($O$5:O129,"recurring",$P$5:P129,1),"")</f>
        <v/>
      </c>
    </row>
    <row r="130" customFormat="false" ht="15" hidden="false" customHeight="false" outlineLevel="0" collapsed="false">
      <c r="A130" s="110"/>
      <c r="B130" s="108"/>
      <c r="C130" s="142"/>
      <c r="D130" s="108"/>
      <c r="E130" s="183" t="str">
        <f aca="false" t="array" ref="E130:E130">IF(B130="","",IFERROR(INDEX(Keywords!$B$5:$B$165,MAX(ISNUMBER(SEARCH(Keywords!$A$5:$A$165,B130))*(Keywords!$A$5:$A$165&lt;&gt;"")*ROW(Keywords!$A$5:$A$165))-4),""))</f>
        <v/>
      </c>
      <c r="F130" s="150" t="str">
        <f aca="false">IF(B130="","",IF(L130="Transfer","Transfer",IF(L130="Income","Income",IF(D130&lt;&gt;"",D130,IF(E130&lt;&gt;"",E130,"Uncategorized")))))</f>
        <v/>
      </c>
      <c r="G130" s="108"/>
      <c r="H130" s="184" t="str">
        <f aca="false">IF(A130="","",DATE(YEAR(A130),MONTH(A130),1))</f>
        <v/>
      </c>
      <c r="I130" s="185"/>
      <c r="J130" s="144"/>
      <c r="K130" s="159" t="str">
        <f aca="false">IF(C130="","",N(C130)/IF(N130&lt;&gt;"",N130,IF(J130="",1,IFERROR(INDEX(Setup!$C$23:$C$46,MATCH(J130,Setup!$A$23:$A$46,0)),1))))</f>
        <v/>
      </c>
      <c r="L130" s="144"/>
      <c r="M130" s="108"/>
      <c r="N130" s="111"/>
      <c r="O130" s="156" t="str">
        <f aca="false">IF(OR(B130="",L130="Transfer"),"",IF(COUNTIFS($B$5:$B$604,B130,$H$5:$H$604,EDATE(H130,-1),$C$5:$C$604,"&gt;="&amp;C130*0.85,$C$5:$C$604,"&lt;="&amp;C130*1.15)&gt;0,"recurring",""))</f>
        <v/>
      </c>
      <c r="P130" s="157" t="str">
        <f aca="false">IF(B130="","",IF(COUNTIF(B130:$B$604,B130)=1,1,""))</f>
        <v/>
      </c>
      <c r="Q130" s="157" t="str">
        <f aca="false">IF(AND(O130="recurring",P130=1),COUNTIFS($O$5:O130,"recurring",$P$5:P130,1),"")</f>
        <v/>
      </c>
    </row>
    <row r="131" customFormat="false" ht="15" hidden="false" customHeight="false" outlineLevel="0" collapsed="false">
      <c r="A131" s="110"/>
      <c r="B131" s="108"/>
      <c r="C131" s="142"/>
      <c r="D131" s="108"/>
      <c r="E131" s="183" t="str">
        <f aca="false" t="array" ref="E131:E131">IF(B131="","",IFERROR(INDEX(Keywords!$B$5:$B$165,MAX(ISNUMBER(SEARCH(Keywords!$A$5:$A$165,B131))*(Keywords!$A$5:$A$165&lt;&gt;"")*ROW(Keywords!$A$5:$A$165))-4),""))</f>
        <v/>
      </c>
      <c r="F131" s="150" t="str">
        <f aca="false">IF(B131="","",IF(L131="Transfer","Transfer",IF(L131="Income","Income",IF(D131&lt;&gt;"",D131,IF(E131&lt;&gt;"",E131,"Uncategorized")))))</f>
        <v/>
      </c>
      <c r="G131" s="108"/>
      <c r="H131" s="184" t="str">
        <f aca="false">IF(A131="","",DATE(YEAR(A131),MONTH(A131),1))</f>
        <v/>
      </c>
      <c r="I131" s="185"/>
      <c r="J131" s="144"/>
      <c r="K131" s="159" t="str">
        <f aca="false">IF(C131="","",N(C131)/IF(N131&lt;&gt;"",N131,IF(J131="",1,IFERROR(INDEX(Setup!$C$23:$C$46,MATCH(J131,Setup!$A$23:$A$46,0)),1))))</f>
        <v/>
      </c>
      <c r="L131" s="144"/>
      <c r="M131" s="108"/>
      <c r="N131" s="111"/>
      <c r="O131" s="156" t="str">
        <f aca="false">IF(OR(B131="",L131="Transfer"),"",IF(COUNTIFS($B$5:$B$604,B131,$H$5:$H$604,EDATE(H131,-1),$C$5:$C$604,"&gt;="&amp;C131*0.85,$C$5:$C$604,"&lt;="&amp;C131*1.15)&gt;0,"recurring",""))</f>
        <v/>
      </c>
      <c r="P131" s="157" t="str">
        <f aca="false">IF(B131="","",IF(COUNTIF(B131:$B$604,B131)=1,1,""))</f>
        <v/>
      </c>
      <c r="Q131" s="157" t="str">
        <f aca="false">IF(AND(O131="recurring",P131=1),COUNTIFS($O$5:O131,"recurring",$P$5:P131,1),"")</f>
        <v/>
      </c>
    </row>
    <row r="132" customFormat="false" ht="15" hidden="false" customHeight="false" outlineLevel="0" collapsed="false">
      <c r="A132" s="110"/>
      <c r="B132" s="108"/>
      <c r="C132" s="142"/>
      <c r="D132" s="108"/>
      <c r="E132" s="183" t="str">
        <f aca="false" t="array" ref="E132:E132">IF(B132="","",IFERROR(INDEX(Keywords!$B$5:$B$165,MAX(ISNUMBER(SEARCH(Keywords!$A$5:$A$165,B132))*(Keywords!$A$5:$A$165&lt;&gt;"")*ROW(Keywords!$A$5:$A$165))-4),""))</f>
        <v/>
      </c>
      <c r="F132" s="150" t="str">
        <f aca="false">IF(B132="","",IF(L132="Transfer","Transfer",IF(L132="Income","Income",IF(D132&lt;&gt;"",D132,IF(E132&lt;&gt;"",E132,"Uncategorized")))))</f>
        <v/>
      </c>
      <c r="G132" s="108"/>
      <c r="H132" s="184" t="str">
        <f aca="false">IF(A132="","",DATE(YEAR(A132),MONTH(A132),1))</f>
        <v/>
      </c>
      <c r="I132" s="185"/>
      <c r="J132" s="144"/>
      <c r="K132" s="159" t="str">
        <f aca="false">IF(C132="","",N(C132)/IF(N132&lt;&gt;"",N132,IF(J132="",1,IFERROR(INDEX(Setup!$C$23:$C$46,MATCH(J132,Setup!$A$23:$A$46,0)),1))))</f>
        <v/>
      </c>
      <c r="L132" s="144"/>
      <c r="M132" s="108"/>
      <c r="N132" s="111"/>
      <c r="O132" s="156" t="str">
        <f aca="false">IF(OR(B132="",L132="Transfer"),"",IF(COUNTIFS($B$5:$B$604,B132,$H$5:$H$604,EDATE(H132,-1),$C$5:$C$604,"&gt;="&amp;C132*0.85,$C$5:$C$604,"&lt;="&amp;C132*1.15)&gt;0,"recurring",""))</f>
        <v/>
      </c>
      <c r="P132" s="157" t="str">
        <f aca="false">IF(B132="","",IF(COUNTIF(B132:$B$604,B132)=1,1,""))</f>
        <v/>
      </c>
      <c r="Q132" s="157" t="str">
        <f aca="false">IF(AND(O132="recurring",P132=1),COUNTIFS($O$5:O132,"recurring",$P$5:P132,1),"")</f>
        <v/>
      </c>
    </row>
    <row r="133" customFormat="false" ht="15" hidden="false" customHeight="false" outlineLevel="0" collapsed="false">
      <c r="A133" s="110"/>
      <c r="B133" s="108"/>
      <c r="C133" s="142"/>
      <c r="D133" s="108"/>
      <c r="E133" s="183" t="str">
        <f aca="false" t="array" ref="E133:E133">IF(B133="","",IFERROR(INDEX(Keywords!$B$5:$B$165,MAX(ISNUMBER(SEARCH(Keywords!$A$5:$A$165,B133))*(Keywords!$A$5:$A$165&lt;&gt;"")*ROW(Keywords!$A$5:$A$165))-4),""))</f>
        <v/>
      </c>
      <c r="F133" s="150" t="str">
        <f aca="false">IF(B133="","",IF(L133="Transfer","Transfer",IF(L133="Income","Income",IF(D133&lt;&gt;"",D133,IF(E133&lt;&gt;"",E133,"Uncategorized")))))</f>
        <v/>
      </c>
      <c r="G133" s="108"/>
      <c r="H133" s="184" t="str">
        <f aca="false">IF(A133="","",DATE(YEAR(A133),MONTH(A133),1))</f>
        <v/>
      </c>
      <c r="I133" s="185"/>
      <c r="J133" s="144"/>
      <c r="K133" s="159" t="str">
        <f aca="false">IF(C133="","",N(C133)/IF(N133&lt;&gt;"",N133,IF(J133="",1,IFERROR(INDEX(Setup!$C$23:$C$46,MATCH(J133,Setup!$A$23:$A$46,0)),1))))</f>
        <v/>
      </c>
      <c r="L133" s="144"/>
      <c r="M133" s="108"/>
      <c r="N133" s="111"/>
      <c r="O133" s="156" t="str">
        <f aca="false">IF(OR(B133="",L133="Transfer"),"",IF(COUNTIFS($B$5:$B$604,B133,$H$5:$H$604,EDATE(H133,-1),$C$5:$C$604,"&gt;="&amp;C133*0.85,$C$5:$C$604,"&lt;="&amp;C133*1.15)&gt;0,"recurring",""))</f>
        <v/>
      </c>
      <c r="P133" s="157" t="str">
        <f aca="false">IF(B133="","",IF(COUNTIF(B133:$B$604,B133)=1,1,""))</f>
        <v/>
      </c>
      <c r="Q133" s="157" t="str">
        <f aca="false">IF(AND(O133="recurring",P133=1),COUNTIFS($O$5:O133,"recurring",$P$5:P133,1),"")</f>
        <v/>
      </c>
    </row>
    <row r="134" customFormat="false" ht="15" hidden="false" customHeight="false" outlineLevel="0" collapsed="false">
      <c r="A134" s="110"/>
      <c r="B134" s="108"/>
      <c r="C134" s="142"/>
      <c r="D134" s="108"/>
      <c r="E134" s="183" t="str">
        <f aca="false" t="array" ref="E134:E134">IF(B134="","",IFERROR(INDEX(Keywords!$B$5:$B$165,MAX(ISNUMBER(SEARCH(Keywords!$A$5:$A$165,B134))*(Keywords!$A$5:$A$165&lt;&gt;"")*ROW(Keywords!$A$5:$A$165))-4),""))</f>
        <v/>
      </c>
      <c r="F134" s="150" t="str">
        <f aca="false">IF(B134="","",IF(L134="Transfer","Transfer",IF(L134="Income","Income",IF(D134&lt;&gt;"",D134,IF(E134&lt;&gt;"",E134,"Uncategorized")))))</f>
        <v/>
      </c>
      <c r="G134" s="108"/>
      <c r="H134" s="184" t="str">
        <f aca="false">IF(A134="","",DATE(YEAR(A134),MONTH(A134),1))</f>
        <v/>
      </c>
      <c r="I134" s="185"/>
      <c r="J134" s="144"/>
      <c r="K134" s="159" t="str">
        <f aca="false">IF(C134="","",N(C134)/IF(N134&lt;&gt;"",N134,IF(J134="",1,IFERROR(INDEX(Setup!$C$23:$C$46,MATCH(J134,Setup!$A$23:$A$46,0)),1))))</f>
        <v/>
      </c>
      <c r="L134" s="144"/>
      <c r="M134" s="108"/>
      <c r="N134" s="111"/>
      <c r="O134" s="156" t="str">
        <f aca="false">IF(OR(B134="",L134="Transfer"),"",IF(COUNTIFS($B$5:$B$604,B134,$H$5:$H$604,EDATE(H134,-1),$C$5:$C$604,"&gt;="&amp;C134*0.85,$C$5:$C$604,"&lt;="&amp;C134*1.15)&gt;0,"recurring",""))</f>
        <v/>
      </c>
      <c r="P134" s="157" t="str">
        <f aca="false">IF(B134="","",IF(COUNTIF(B134:$B$604,B134)=1,1,""))</f>
        <v/>
      </c>
      <c r="Q134" s="157" t="str">
        <f aca="false">IF(AND(O134="recurring",P134=1),COUNTIFS($O$5:O134,"recurring",$P$5:P134,1),"")</f>
        <v/>
      </c>
    </row>
    <row r="135" customFormat="false" ht="15" hidden="false" customHeight="false" outlineLevel="0" collapsed="false">
      <c r="A135" s="110"/>
      <c r="B135" s="108"/>
      <c r="C135" s="142"/>
      <c r="D135" s="108"/>
      <c r="E135" s="183" t="str">
        <f aca="false" t="array" ref="E135:E135">IF(B135="","",IFERROR(INDEX(Keywords!$B$5:$B$165,MAX(ISNUMBER(SEARCH(Keywords!$A$5:$A$165,B135))*(Keywords!$A$5:$A$165&lt;&gt;"")*ROW(Keywords!$A$5:$A$165))-4),""))</f>
        <v/>
      </c>
      <c r="F135" s="150" t="str">
        <f aca="false">IF(B135="","",IF(L135="Transfer","Transfer",IF(L135="Income","Income",IF(D135&lt;&gt;"",D135,IF(E135&lt;&gt;"",E135,"Uncategorized")))))</f>
        <v/>
      </c>
      <c r="G135" s="108"/>
      <c r="H135" s="184" t="str">
        <f aca="false">IF(A135="","",DATE(YEAR(A135),MONTH(A135),1))</f>
        <v/>
      </c>
      <c r="I135" s="185"/>
      <c r="J135" s="144"/>
      <c r="K135" s="159" t="str">
        <f aca="false">IF(C135="","",N(C135)/IF(N135&lt;&gt;"",N135,IF(J135="",1,IFERROR(INDEX(Setup!$C$23:$C$46,MATCH(J135,Setup!$A$23:$A$46,0)),1))))</f>
        <v/>
      </c>
      <c r="L135" s="144"/>
      <c r="M135" s="108"/>
      <c r="N135" s="111"/>
      <c r="O135" s="156" t="str">
        <f aca="false">IF(OR(B135="",L135="Transfer"),"",IF(COUNTIFS($B$5:$B$604,B135,$H$5:$H$604,EDATE(H135,-1),$C$5:$C$604,"&gt;="&amp;C135*0.85,$C$5:$C$604,"&lt;="&amp;C135*1.15)&gt;0,"recurring",""))</f>
        <v/>
      </c>
      <c r="P135" s="157" t="str">
        <f aca="false">IF(B135="","",IF(COUNTIF(B135:$B$604,B135)=1,1,""))</f>
        <v/>
      </c>
      <c r="Q135" s="157" t="str">
        <f aca="false">IF(AND(O135="recurring",P135=1),COUNTIFS($O$5:O135,"recurring",$P$5:P135,1),"")</f>
        <v/>
      </c>
    </row>
    <row r="136" customFormat="false" ht="15" hidden="false" customHeight="false" outlineLevel="0" collapsed="false">
      <c r="A136" s="110"/>
      <c r="B136" s="108"/>
      <c r="C136" s="142"/>
      <c r="D136" s="108"/>
      <c r="E136" s="183" t="str">
        <f aca="false" t="array" ref="E136:E136">IF(B136="","",IFERROR(INDEX(Keywords!$B$5:$B$165,MAX(ISNUMBER(SEARCH(Keywords!$A$5:$A$165,B136))*(Keywords!$A$5:$A$165&lt;&gt;"")*ROW(Keywords!$A$5:$A$165))-4),""))</f>
        <v/>
      </c>
      <c r="F136" s="150" t="str">
        <f aca="false">IF(B136="","",IF(L136="Transfer","Transfer",IF(L136="Income","Income",IF(D136&lt;&gt;"",D136,IF(E136&lt;&gt;"",E136,"Uncategorized")))))</f>
        <v/>
      </c>
      <c r="G136" s="108"/>
      <c r="H136" s="184" t="str">
        <f aca="false">IF(A136="","",DATE(YEAR(A136),MONTH(A136),1))</f>
        <v/>
      </c>
      <c r="I136" s="185"/>
      <c r="J136" s="144"/>
      <c r="K136" s="159" t="str">
        <f aca="false">IF(C136="","",N(C136)/IF(N136&lt;&gt;"",N136,IF(J136="",1,IFERROR(INDEX(Setup!$C$23:$C$46,MATCH(J136,Setup!$A$23:$A$46,0)),1))))</f>
        <v/>
      </c>
      <c r="L136" s="144"/>
      <c r="M136" s="108"/>
      <c r="N136" s="111"/>
      <c r="O136" s="156" t="str">
        <f aca="false">IF(OR(B136="",L136="Transfer"),"",IF(COUNTIFS($B$5:$B$604,B136,$H$5:$H$604,EDATE(H136,-1),$C$5:$C$604,"&gt;="&amp;C136*0.85,$C$5:$C$604,"&lt;="&amp;C136*1.15)&gt;0,"recurring",""))</f>
        <v/>
      </c>
      <c r="P136" s="157" t="str">
        <f aca="false">IF(B136="","",IF(COUNTIF(B136:$B$604,B136)=1,1,""))</f>
        <v/>
      </c>
      <c r="Q136" s="157" t="str">
        <f aca="false">IF(AND(O136="recurring",P136=1),COUNTIFS($O$5:O136,"recurring",$P$5:P136,1),"")</f>
        <v/>
      </c>
    </row>
    <row r="137" customFormat="false" ht="15" hidden="false" customHeight="false" outlineLevel="0" collapsed="false">
      <c r="A137" s="110"/>
      <c r="B137" s="108"/>
      <c r="C137" s="142"/>
      <c r="D137" s="108"/>
      <c r="E137" s="183" t="str">
        <f aca="false" t="array" ref="E137:E137">IF(B137="","",IFERROR(INDEX(Keywords!$B$5:$B$165,MAX(ISNUMBER(SEARCH(Keywords!$A$5:$A$165,B137))*(Keywords!$A$5:$A$165&lt;&gt;"")*ROW(Keywords!$A$5:$A$165))-4),""))</f>
        <v/>
      </c>
      <c r="F137" s="150" t="str">
        <f aca="false">IF(B137="","",IF(L137="Transfer","Transfer",IF(L137="Income","Income",IF(D137&lt;&gt;"",D137,IF(E137&lt;&gt;"",E137,"Uncategorized")))))</f>
        <v/>
      </c>
      <c r="G137" s="108"/>
      <c r="H137" s="184" t="str">
        <f aca="false">IF(A137="","",DATE(YEAR(A137),MONTH(A137),1))</f>
        <v/>
      </c>
      <c r="I137" s="185"/>
      <c r="J137" s="144"/>
      <c r="K137" s="159" t="str">
        <f aca="false">IF(C137="","",N(C137)/IF(N137&lt;&gt;"",N137,IF(J137="",1,IFERROR(INDEX(Setup!$C$23:$C$46,MATCH(J137,Setup!$A$23:$A$46,0)),1))))</f>
        <v/>
      </c>
      <c r="L137" s="144"/>
      <c r="M137" s="108"/>
      <c r="N137" s="111"/>
      <c r="O137" s="156" t="str">
        <f aca="false">IF(OR(B137="",L137="Transfer"),"",IF(COUNTIFS($B$5:$B$604,B137,$H$5:$H$604,EDATE(H137,-1),$C$5:$C$604,"&gt;="&amp;C137*0.85,$C$5:$C$604,"&lt;="&amp;C137*1.15)&gt;0,"recurring",""))</f>
        <v/>
      </c>
      <c r="P137" s="157" t="str">
        <f aca="false">IF(B137="","",IF(COUNTIF(B137:$B$604,B137)=1,1,""))</f>
        <v/>
      </c>
      <c r="Q137" s="157" t="str">
        <f aca="false">IF(AND(O137="recurring",P137=1),COUNTIFS($O$5:O137,"recurring",$P$5:P137,1),"")</f>
        <v/>
      </c>
    </row>
    <row r="138" customFormat="false" ht="15" hidden="false" customHeight="false" outlineLevel="0" collapsed="false">
      <c r="A138" s="110"/>
      <c r="B138" s="108"/>
      <c r="C138" s="142"/>
      <c r="D138" s="108"/>
      <c r="E138" s="183" t="str">
        <f aca="false" t="array" ref="E138:E138">IF(B138="","",IFERROR(INDEX(Keywords!$B$5:$B$165,MAX(ISNUMBER(SEARCH(Keywords!$A$5:$A$165,B138))*(Keywords!$A$5:$A$165&lt;&gt;"")*ROW(Keywords!$A$5:$A$165))-4),""))</f>
        <v/>
      </c>
      <c r="F138" s="150" t="str">
        <f aca="false">IF(B138="","",IF(L138="Transfer","Transfer",IF(L138="Income","Income",IF(D138&lt;&gt;"",D138,IF(E138&lt;&gt;"",E138,"Uncategorized")))))</f>
        <v/>
      </c>
      <c r="G138" s="108"/>
      <c r="H138" s="184" t="str">
        <f aca="false">IF(A138="","",DATE(YEAR(A138),MONTH(A138),1))</f>
        <v/>
      </c>
      <c r="I138" s="185"/>
      <c r="J138" s="144"/>
      <c r="K138" s="159" t="str">
        <f aca="false">IF(C138="","",N(C138)/IF(N138&lt;&gt;"",N138,IF(J138="",1,IFERROR(INDEX(Setup!$C$23:$C$46,MATCH(J138,Setup!$A$23:$A$46,0)),1))))</f>
        <v/>
      </c>
      <c r="L138" s="144"/>
      <c r="M138" s="108"/>
      <c r="N138" s="111"/>
      <c r="O138" s="156" t="str">
        <f aca="false">IF(OR(B138="",L138="Transfer"),"",IF(COUNTIFS($B$5:$B$604,B138,$H$5:$H$604,EDATE(H138,-1),$C$5:$C$604,"&gt;="&amp;C138*0.85,$C$5:$C$604,"&lt;="&amp;C138*1.15)&gt;0,"recurring",""))</f>
        <v/>
      </c>
      <c r="P138" s="157" t="str">
        <f aca="false">IF(B138="","",IF(COUNTIF(B138:$B$604,B138)=1,1,""))</f>
        <v/>
      </c>
      <c r="Q138" s="157" t="str">
        <f aca="false">IF(AND(O138="recurring",P138=1),COUNTIFS($O$5:O138,"recurring",$P$5:P138,1),"")</f>
        <v/>
      </c>
    </row>
    <row r="139" customFormat="false" ht="15" hidden="false" customHeight="false" outlineLevel="0" collapsed="false">
      <c r="A139" s="110"/>
      <c r="B139" s="108"/>
      <c r="C139" s="142"/>
      <c r="D139" s="108"/>
      <c r="E139" s="183" t="str">
        <f aca="false" t="array" ref="E139:E139">IF(B139="","",IFERROR(INDEX(Keywords!$B$5:$B$165,MAX(ISNUMBER(SEARCH(Keywords!$A$5:$A$165,B139))*(Keywords!$A$5:$A$165&lt;&gt;"")*ROW(Keywords!$A$5:$A$165))-4),""))</f>
        <v/>
      </c>
      <c r="F139" s="150" t="str">
        <f aca="false">IF(B139="","",IF(L139="Transfer","Transfer",IF(L139="Income","Income",IF(D139&lt;&gt;"",D139,IF(E139&lt;&gt;"",E139,"Uncategorized")))))</f>
        <v/>
      </c>
      <c r="G139" s="108"/>
      <c r="H139" s="184" t="str">
        <f aca="false">IF(A139="","",DATE(YEAR(A139),MONTH(A139),1))</f>
        <v/>
      </c>
      <c r="I139" s="185"/>
      <c r="J139" s="144"/>
      <c r="K139" s="159" t="str">
        <f aca="false">IF(C139="","",N(C139)/IF(N139&lt;&gt;"",N139,IF(J139="",1,IFERROR(INDEX(Setup!$C$23:$C$46,MATCH(J139,Setup!$A$23:$A$46,0)),1))))</f>
        <v/>
      </c>
      <c r="L139" s="144"/>
      <c r="M139" s="108"/>
      <c r="N139" s="111"/>
      <c r="O139" s="156" t="str">
        <f aca="false">IF(OR(B139="",L139="Transfer"),"",IF(COUNTIFS($B$5:$B$604,B139,$H$5:$H$604,EDATE(H139,-1),$C$5:$C$604,"&gt;="&amp;C139*0.85,$C$5:$C$604,"&lt;="&amp;C139*1.15)&gt;0,"recurring",""))</f>
        <v/>
      </c>
      <c r="P139" s="157" t="str">
        <f aca="false">IF(B139="","",IF(COUNTIF(B139:$B$604,B139)=1,1,""))</f>
        <v/>
      </c>
      <c r="Q139" s="157" t="str">
        <f aca="false">IF(AND(O139="recurring",P139=1),COUNTIFS($O$5:O139,"recurring",$P$5:P139,1),"")</f>
        <v/>
      </c>
    </row>
    <row r="140" customFormat="false" ht="15" hidden="false" customHeight="false" outlineLevel="0" collapsed="false">
      <c r="A140" s="110"/>
      <c r="B140" s="108"/>
      <c r="C140" s="142"/>
      <c r="D140" s="108"/>
      <c r="E140" s="183" t="str">
        <f aca="false" t="array" ref="E140:E140">IF(B140="","",IFERROR(INDEX(Keywords!$B$5:$B$165,MAX(ISNUMBER(SEARCH(Keywords!$A$5:$A$165,B140))*(Keywords!$A$5:$A$165&lt;&gt;"")*ROW(Keywords!$A$5:$A$165))-4),""))</f>
        <v/>
      </c>
      <c r="F140" s="150" t="str">
        <f aca="false">IF(B140="","",IF(L140="Transfer","Transfer",IF(L140="Income","Income",IF(D140&lt;&gt;"",D140,IF(E140&lt;&gt;"",E140,"Uncategorized")))))</f>
        <v/>
      </c>
      <c r="G140" s="108"/>
      <c r="H140" s="184" t="str">
        <f aca="false">IF(A140="","",DATE(YEAR(A140),MONTH(A140),1))</f>
        <v/>
      </c>
      <c r="I140" s="185"/>
      <c r="J140" s="144"/>
      <c r="K140" s="159" t="str">
        <f aca="false">IF(C140="","",N(C140)/IF(N140&lt;&gt;"",N140,IF(J140="",1,IFERROR(INDEX(Setup!$C$23:$C$46,MATCH(J140,Setup!$A$23:$A$46,0)),1))))</f>
        <v/>
      </c>
      <c r="L140" s="144"/>
      <c r="M140" s="108"/>
      <c r="N140" s="111"/>
      <c r="O140" s="156" t="str">
        <f aca="false">IF(OR(B140="",L140="Transfer"),"",IF(COUNTIFS($B$5:$B$604,B140,$H$5:$H$604,EDATE(H140,-1),$C$5:$C$604,"&gt;="&amp;C140*0.85,$C$5:$C$604,"&lt;="&amp;C140*1.15)&gt;0,"recurring",""))</f>
        <v/>
      </c>
      <c r="P140" s="157" t="str">
        <f aca="false">IF(B140="","",IF(COUNTIF(B140:$B$604,B140)=1,1,""))</f>
        <v/>
      </c>
      <c r="Q140" s="157" t="str">
        <f aca="false">IF(AND(O140="recurring",P140=1),COUNTIFS($O$5:O140,"recurring",$P$5:P140,1),"")</f>
        <v/>
      </c>
    </row>
    <row r="141" customFormat="false" ht="15" hidden="false" customHeight="false" outlineLevel="0" collapsed="false">
      <c r="A141" s="110"/>
      <c r="B141" s="108"/>
      <c r="C141" s="142"/>
      <c r="D141" s="108"/>
      <c r="E141" s="183" t="str">
        <f aca="false" t="array" ref="E141:E141">IF(B141="","",IFERROR(INDEX(Keywords!$B$5:$B$165,MAX(ISNUMBER(SEARCH(Keywords!$A$5:$A$165,B141))*(Keywords!$A$5:$A$165&lt;&gt;"")*ROW(Keywords!$A$5:$A$165))-4),""))</f>
        <v/>
      </c>
      <c r="F141" s="150" t="str">
        <f aca="false">IF(B141="","",IF(L141="Transfer","Transfer",IF(L141="Income","Income",IF(D141&lt;&gt;"",D141,IF(E141&lt;&gt;"",E141,"Uncategorized")))))</f>
        <v/>
      </c>
      <c r="G141" s="108"/>
      <c r="H141" s="184" t="str">
        <f aca="false">IF(A141="","",DATE(YEAR(A141),MONTH(A141),1))</f>
        <v/>
      </c>
      <c r="I141" s="185"/>
      <c r="J141" s="144"/>
      <c r="K141" s="159" t="str">
        <f aca="false">IF(C141="","",N(C141)/IF(N141&lt;&gt;"",N141,IF(J141="",1,IFERROR(INDEX(Setup!$C$23:$C$46,MATCH(J141,Setup!$A$23:$A$46,0)),1))))</f>
        <v/>
      </c>
      <c r="L141" s="144"/>
      <c r="M141" s="108"/>
      <c r="N141" s="111"/>
      <c r="O141" s="156" t="str">
        <f aca="false">IF(OR(B141="",L141="Transfer"),"",IF(COUNTIFS($B$5:$B$604,B141,$H$5:$H$604,EDATE(H141,-1),$C$5:$C$604,"&gt;="&amp;C141*0.85,$C$5:$C$604,"&lt;="&amp;C141*1.15)&gt;0,"recurring",""))</f>
        <v/>
      </c>
      <c r="P141" s="157" t="str">
        <f aca="false">IF(B141="","",IF(COUNTIF(B141:$B$604,B141)=1,1,""))</f>
        <v/>
      </c>
      <c r="Q141" s="157" t="str">
        <f aca="false">IF(AND(O141="recurring",P141=1),COUNTIFS($O$5:O141,"recurring",$P$5:P141,1),"")</f>
        <v/>
      </c>
    </row>
    <row r="142" customFormat="false" ht="15" hidden="false" customHeight="false" outlineLevel="0" collapsed="false">
      <c r="A142" s="110"/>
      <c r="B142" s="108"/>
      <c r="C142" s="142"/>
      <c r="D142" s="108"/>
      <c r="E142" s="183" t="str">
        <f aca="false" t="array" ref="E142:E142">IF(B142="","",IFERROR(INDEX(Keywords!$B$5:$B$165,MAX(ISNUMBER(SEARCH(Keywords!$A$5:$A$165,B142))*(Keywords!$A$5:$A$165&lt;&gt;"")*ROW(Keywords!$A$5:$A$165))-4),""))</f>
        <v/>
      </c>
      <c r="F142" s="150" t="str">
        <f aca="false">IF(B142="","",IF(L142="Transfer","Transfer",IF(L142="Income","Income",IF(D142&lt;&gt;"",D142,IF(E142&lt;&gt;"",E142,"Uncategorized")))))</f>
        <v/>
      </c>
      <c r="G142" s="108"/>
      <c r="H142" s="184" t="str">
        <f aca="false">IF(A142="","",DATE(YEAR(A142),MONTH(A142),1))</f>
        <v/>
      </c>
      <c r="I142" s="185"/>
      <c r="J142" s="144"/>
      <c r="K142" s="159" t="str">
        <f aca="false">IF(C142="","",N(C142)/IF(N142&lt;&gt;"",N142,IF(J142="",1,IFERROR(INDEX(Setup!$C$23:$C$46,MATCH(J142,Setup!$A$23:$A$46,0)),1))))</f>
        <v/>
      </c>
      <c r="L142" s="144"/>
      <c r="M142" s="108"/>
      <c r="N142" s="111"/>
      <c r="O142" s="156" t="str">
        <f aca="false">IF(OR(B142="",L142="Transfer"),"",IF(COUNTIFS($B$5:$B$604,B142,$H$5:$H$604,EDATE(H142,-1),$C$5:$C$604,"&gt;="&amp;C142*0.85,$C$5:$C$604,"&lt;="&amp;C142*1.15)&gt;0,"recurring",""))</f>
        <v/>
      </c>
      <c r="P142" s="157" t="str">
        <f aca="false">IF(B142="","",IF(COUNTIF(B142:$B$604,B142)=1,1,""))</f>
        <v/>
      </c>
      <c r="Q142" s="157" t="str">
        <f aca="false">IF(AND(O142="recurring",P142=1),COUNTIFS($O$5:O142,"recurring",$P$5:P142,1),"")</f>
        <v/>
      </c>
    </row>
    <row r="143" customFormat="false" ht="15" hidden="false" customHeight="false" outlineLevel="0" collapsed="false">
      <c r="A143" s="110"/>
      <c r="B143" s="108"/>
      <c r="C143" s="142"/>
      <c r="D143" s="108"/>
      <c r="E143" s="183" t="str">
        <f aca="false" t="array" ref="E143:E143">IF(B143="","",IFERROR(INDEX(Keywords!$B$5:$B$165,MAX(ISNUMBER(SEARCH(Keywords!$A$5:$A$165,B143))*(Keywords!$A$5:$A$165&lt;&gt;"")*ROW(Keywords!$A$5:$A$165))-4),""))</f>
        <v/>
      </c>
      <c r="F143" s="150" t="str">
        <f aca="false">IF(B143="","",IF(L143="Transfer","Transfer",IF(L143="Income","Income",IF(D143&lt;&gt;"",D143,IF(E143&lt;&gt;"",E143,"Uncategorized")))))</f>
        <v/>
      </c>
      <c r="G143" s="108"/>
      <c r="H143" s="184" t="str">
        <f aca="false">IF(A143="","",DATE(YEAR(A143),MONTH(A143),1))</f>
        <v/>
      </c>
      <c r="I143" s="185"/>
      <c r="J143" s="144"/>
      <c r="K143" s="159" t="str">
        <f aca="false">IF(C143="","",N(C143)/IF(N143&lt;&gt;"",N143,IF(J143="",1,IFERROR(INDEX(Setup!$C$23:$C$46,MATCH(J143,Setup!$A$23:$A$46,0)),1))))</f>
        <v/>
      </c>
      <c r="L143" s="144"/>
      <c r="M143" s="108"/>
      <c r="N143" s="111"/>
      <c r="O143" s="156" t="str">
        <f aca="false">IF(OR(B143="",L143="Transfer"),"",IF(COUNTIFS($B$5:$B$604,B143,$H$5:$H$604,EDATE(H143,-1),$C$5:$C$604,"&gt;="&amp;C143*0.85,$C$5:$C$604,"&lt;="&amp;C143*1.15)&gt;0,"recurring",""))</f>
        <v/>
      </c>
      <c r="P143" s="157" t="str">
        <f aca="false">IF(B143="","",IF(COUNTIF(B143:$B$604,B143)=1,1,""))</f>
        <v/>
      </c>
      <c r="Q143" s="157" t="str">
        <f aca="false">IF(AND(O143="recurring",P143=1),COUNTIFS($O$5:O143,"recurring",$P$5:P143,1),"")</f>
        <v/>
      </c>
    </row>
    <row r="144" customFormat="false" ht="15" hidden="false" customHeight="false" outlineLevel="0" collapsed="false">
      <c r="A144" s="110"/>
      <c r="B144" s="108"/>
      <c r="C144" s="142"/>
      <c r="D144" s="108"/>
      <c r="E144" s="183" t="str">
        <f aca="false" t="array" ref="E144:E144">IF(B144="","",IFERROR(INDEX(Keywords!$B$5:$B$165,MAX(ISNUMBER(SEARCH(Keywords!$A$5:$A$165,B144))*(Keywords!$A$5:$A$165&lt;&gt;"")*ROW(Keywords!$A$5:$A$165))-4),""))</f>
        <v/>
      </c>
      <c r="F144" s="150" t="str">
        <f aca="false">IF(B144="","",IF(L144="Transfer","Transfer",IF(L144="Income","Income",IF(D144&lt;&gt;"",D144,IF(E144&lt;&gt;"",E144,"Uncategorized")))))</f>
        <v/>
      </c>
      <c r="G144" s="108"/>
      <c r="H144" s="184" t="str">
        <f aca="false">IF(A144="","",DATE(YEAR(A144),MONTH(A144),1))</f>
        <v/>
      </c>
      <c r="I144" s="185"/>
      <c r="J144" s="144"/>
      <c r="K144" s="159" t="str">
        <f aca="false">IF(C144="","",N(C144)/IF(N144&lt;&gt;"",N144,IF(J144="",1,IFERROR(INDEX(Setup!$C$23:$C$46,MATCH(J144,Setup!$A$23:$A$46,0)),1))))</f>
        <v/>
      </c>
      <c r="L144" s="144"/>
      <c r="M144" s="108"/>
      <c r="N144" s="111"/>
      <c r="O144" s="156" t="str">
        <f aca="false">IF(OR(B144="",L144="Transfer"),"",IF(COUNTIFS($B$5:$B$604,B144,$H$5:$H$604,EDATE(H144,-1),$C$5:$C$604,"&gt;="&amp;C144*0.85,$C$5:$C$604,"&lt;="&amp;C144*1.15)&gt;0,"recurring",""))</f>
        <v/>
      </c>
      <c r="P144" s="157" t="str">
        <f aca="false">IF(B144="","",IF(COUNTIF(B144:$B$604,B144)=1,1,""))</f>
        <v/>
      </c>
      <c r="Q144" s="157" t="str">
        <f aca="false">IF(AND(O144="recurring",P144=1),COUNTIFS($O$5:O144,"recurring",$P$5:P144,1),"")</f>
        <v/>
      </c>
    </row>
    <row r="145" customFormat="false" ht="15" hidden="false" customHeight="false" outlineLevel="0" collapsed="false">
      <c r="A145" s="110"/>
      <c r="B145" s="108"/>
      <c r="C145" s="142"/>
      <c r="D145" s="108"/>
      <c r="E145" s="183" t="str">
        <f aca="false" t="array" ref="E145:E145">IF(B145="","",IFERROR(INDEX(Keywords!$B$5:$B$165,MAX(ISNUMBER(SEARCH(Keywords!$A$5:$A$165,B145))*(Keywords!$A$5:$A$165&lt;&gt;"")*ROW(Keywords!$A$5:$A$165))-4),""))</f>
        <v/>
      </c>
      <c r="F145" s="150" t="str">
        <f aca="false">IF(B145="","",IF(L145="Transfer","Transfer",IF(L145="Income","Income",IF(D145&lt;&gt;"",D145,IF(E145&lt;&gt;"",E145,"Uncategorized")))))</f>
        <v/>
      </c>
      <c r="G145" s="108"/>
      <c r="H145" s="184" t="str">
        <f aca="false">IF(A145="","",DATE(YEAR(A145),MONTH(A145),1))</f>
        <v/>
      </c>
      <c r="I145" s="185"/>
      <c r="J145" s="144"/>
      <c r="K145" s="159" t="str">
        <f aca="false">IF(C145="","",N(C145)/IF(N145&lt;&gt;"",N145,IF(J145="",1,IFERROR(INDEX(Setup!$C$23:$C$46,MATCH(J145,Setup!$A$23:$A$46,0)),1))))</f>
        <v/>
      </c>
      <c r="L145" s="144"/>
      <c r="M145" s="108"/>
      <c r="N145" s="111"/>
      <c r="O145" s="156" t="str">
        <f aca="false">IF(OR(B145="",L145="Transfer"),"",IF(COUNTIFS($B$5:$B$604,B145,$H$5:$H$604,EDATE(H145,-1),$C$5:$C$604,"&gt;="&amp;C145*0.85,$C$5:$C$604,"&lt;="&amp;C145*1.15)&gt;0,"recurring",""))</f>
        <v/>
      </c>
      <c r="P145" s="157" t="str">
        <f aca="false">IF(B145="","",IF(COUNTIF(B145:$B$604,B145)=1,1,""))</f>
        <v/>
      </c>
      <c r="Q145" s="157" t="str">
        <f aca="false">IF(AND(O145="recurring",P145=1),COUNTIFS($O$5:O145,"recurring",$P$5:P145,1),"")</f>
        <v/>
      </c>
    </row>
    <row r="146" customFormat="false" ht="15" hidden="false" customHeight="false" outlineLevel="0" collapsed="false">
      <c r="A146" s="110"/>
      <c r="B146" s="108"/>
      <c r="C146" s="142"/>
      <c r="D146" s="108"/>
      <c r="E146" s="183" t="str">
        <f aca="false" t="array" ref="E146:E146">IF(B146="","",IFERROR(INDEX(Keywords!$B$5:$B$165,MAX(ISNUMBER(SEARCH(Keywords!$A$5:$A$165,B146))*(Keywords!$A$5:$A$165&lt;&gt;"")*ROW(Keywords!$A$5:$A$165))-4),""))</f>
        <v/>
      </c>
      <c r="F146" s="150" t="str">
        <f aca="false">IF(B146="","",IF(L146="Transfer","Transfer",IF(L146="Income","Income",IF(D146&lt;&gt;"",D146,IF(E146&lt;&gt;"",E146,"Uncategorized")))))</f>
        <v/>
      </c>
      <c r="G146" s="108"/>
      <c r="H146" s="184" t="str">
        <f aca="false">IF(A146="","",DATE(YEAR(A146),MONTH(A146),1))</f>
        <v/>
      </c>
      <c r="I146" s="185"/>
      <c r="J146" s="144"/>
      <c r="K146" s="159" t="str">
        <f aca="false">IF(C146="","",N(C146)/IF(N146&lt;&gt;"",N146,IF(J146="",1,IFERROR(INDEX(Setup!$C$23:$C$46,MATCH(J146,Setup!$A$23:$A$46,0)),1))))</f>
        <v/>
      </c>
      <c r="L146" s="144"/>
      <c r="M146" s="108"/>
      <c r="N146" s="111"/>
      <c r="O146" s="156" t="str">
        <f aca="false">IF(OR(B146="",L146="Transfer"),"",IF(COUNTIFS($B$5:$B$604,B146,$H$5:$H$604,EDATE(H146,-1),$C$5:$C$604,"&gt;="&amp;C146*0.85,$C$5:$C$604,"&lt;="&amp;C146*1.15)&gt;0,"recurring",""))</f>
        <v/>
      </c>
      <c r="P146" s="157" t="str">
        <f aca="false">IF(B146="","",IF(COUNTIF(B146:$B$604,B146)=1,1,""))</f>
        <v/>
      </c>
      <c r="Q146" s="157" t="str">
        <f aca="false">IF(AND(O146="recurring",P146=1),COUNTIFS($O$5:O146,"recurring",$P$5:P146,1),"")</f>
        <v/>
      </c>
    </row>
    <row r="147" customFormat="false" ht="15" hidden="false" customHeight="false" outlineLevel="0" collapsed="false">
      <c r="A147" s="110"/>
      <c r="B147" s="108"/>
      <c r="C147" s="142"/>
      <c r="D147" s="108"/>
      <c r="E147" s="183" t="str">
        <f aca="false" t="array" ref="E147:E147">IF(B147="","",IFERROR(INDEX(Keywords!$B$5:$B$165,MAX(ISNUMBER(SEARCH(Keywords!$A$5:$A$165,B147))*(Keywords!$A$5:$A$165&lt;&gt;"")*ROW(Keywords!$A$5:$A$165))-4),""))</f>
        <v/>
      </c>
      <c r="F147" s="150" t="str">
        <f aca="false">IF(B147="","",IF(L147="Transfer","Transfer",IF(L147="Income","Income",IF(D147&lt;&gt;"",D147,IF(E147&lt;&gt;"",E147,"Uncategorized")))))</f>
        <v/>
      </c>
      <c r="G147" s="108"/>
      <c r="H147" s="184" t="str">
        <f aca="false">IF(A147="","",DATE(YEAR(A147),MONTH(A147),1))</f>
        <v/>
      </c>
      <c r="I147" s="185"/>
      <c r="J147" s="144"/>
      <c r="K147" s="159" t="str">
        <f aca="false">IF(C147="","",N(C147)/IF(N147&lt;&gt;"",N147,IF(J147="",1,IFERROR(INDEX(Setup!$C$23:$C$46,MATCH(J147,Setup!$A$23:$A$46,0)),1))))</f>
        <v/>
      </c>
      <c r="L147" s="144"/>
      <c r="M147" s="108"/>
      <c r="N147" s="111"/>
      <c r="O147" s="156" t="str">
        <f aca="false">IF(OR(B147="",L147="Transfer"),"",IF(COUNTIFS($B$5:$B$604,B147,$H$5:$H$604,EDATE(H147,-1),$C$5:$C$604,"&gt;="&amp;C147*0.85,$C$5:$C$604,"&lt;="&amp;C147*1.15)&gt;0,"recurring",""))</f>
        <v/>
      </c>
      <c r="P147" s="157" t="str">
        <f aca="false">IF(B147="","",IF(COUNTIF(B147:$B$604,B147)=1,1,""))</f>
        <v/>
      </c>
      <c r="Q147" s="157" t="str">
        <f aca="false">IF(AND(O147="recurring",P147=1),COUNTIFS($O$5:O147,"recurring",$P$5:P147,1),"")</f>
        <v/>
      </c>
    </row>
    <row r="148" customFormat="false" ht="15" hidden="false" customHeight="false" outlineLevel="0" collapsed="false">
      <c r="A148" s="110"/>
      <c r="B148" s="108"/>
      <c r="C148" s="142"/>
      <c r="D148" s="108"/>
      <c r="E148" s="183" t="str">
        <f aca="false" t="array" ref="E148:E148">IF(B148="","",IFERROR(INDEX(Keywords!$B$5:$B$165,MAX(ISNUMBER(SEARCH(Keywords!$A$5:$A$165,B148))*(Keywords!$A$5:$A$165&lt;&gt;"")*ROW(Keywords!$A$5:$A$165))-4),""))</f>
        <v/>
      </c>
      <c r="F148" s="150" t="str">
        <f aca="false">IF(B148="","",IF(L148="Transfer","Transfer",IF(L148="Income","Income",IF(D148&lt;&gt;"",D148,IF(E148&lt;&gt;"",E148,"Uncategorized")))))</f>
        <v/>
      </c>
      <c r="G148" s="108"/>
      <c r="H148" s="184" t="str">
        <f aca="false">IF(A148="","",DATE(YEAR(A148),MONTH(A148),1))</f>
        <v/>
      </c>
      <c r="I148" s="185"/>
      <c r="J148" s="144"/>
      <c r="K148" s="159" t="str">
        <f aca="false">IF(C148="","",N(C148)/IF(N148&lt;&gt;"",N148,IF(J148="",1,IFERROR(INDEX(Setup!$C$23:$C$46,MATCH(J148,Setup!$A$23:$A$46,0)),1))))</f>
        <v/>
      </c>
      <c r="L148" s="144"/>
      <c r="M148" s="108"/>
      <c r="N148" s="111"/>
      <c r="O148" s="156" t="str">
        <f aca="false">IF(OR(B148="",L148="Transfer"),"",IF(COUNTIFS($B$5:$B$604,B148,$H$5:$H$604,EDATE(H148,-1),$C$5:$C$604,"&gt;="&amp;C148*0.85,$C$5:$C$604,"&lt;="&amp;C148*1.15)&gt;0,"recurring",""))</f>
        <v/>
      </c>
      <c r="P148" s="157" t="str">
        <f aca="false">IF(B148="","",IF(COUNTIF(B148:$B$604,B148)=1,1,""))</f>
        <v/>
      </c>
      <c r="Q148" s="157" t="str">
        <f aca="false">IF(AND(O148="recurring",P148=1),COUNTIFS($O$5:O148,"recurring",$P$5:P148,1),"")</f>
        <v/>
      </c>
    </row>
    <row r="149" customFormat="false" ht="15" hidden="false" customHeight="false" outlineLevel="0" collapsed="false">
      <c r="A149" s="110"/>
      <c r="B149" s="108"/>
      <c r="C149" s="142"/>
      <c r="D149" s="108"/>
      <c r="E149" s="183" t="str">
        <f aca="false" t="array" ref="E149:E149">IF(B149="","",IFERROR(INDEX(Keywords!$B$5:$B$165,MAX(ISNUMBER(SEARCH(Keywords!$A$5:$A$165,B149))*(Keywords!$A$5:$A$165&lt;&gt;"")*ROW(Keywords!$A$5:$A$165))-4),""))</f>
        <v/>
      </c>
      <c r="F149" s="150" t="str">
        <f aca="false">IF(B149="","",IF(L149="Transfer","Transfer",IF(L149="Income","Income",IF(D149&lt;&gt;"",D149,IF(E149&lt;&gt;"",E149,"Uncategorized")))))</f>
        <v/>
      </c>
      <c r="G149" s="108"/>
      <c r="H149" s="184" t="str">
        <f aca="false">IF(A149="","",DATE(YEAR(A149),MONTH(A149),1))</f>
        <v/>
      </c>
      <c r="I149" s="185"/>
      <c r="J149" s="144"/>
      <c r="K149" s="159" t="str">
        <f aca="false">IF(C149="","",N(C149)/IF(N149&lt;&gt;"",N149,IF(J149="",1,IFERROR(INDEX(Setup!$C$23:$C$46,MATCH(J149,Setup!$A$23:$A$46,0)),1))))</f>
        <v/>
      </c>
      <c r="L149" s="144"/>
      <c r="M149" s="108"/>
      <c r="N149" s="111"/>
      <c r="O149" s="156" t="str">
        <f aca="false">IF(OR(B149="",L149="Transfer"),"",IF(COUNTIFS($B$5:$B$604,B149,$H$5:$H$604,EDATE(H149,-1),$C$5:$C$604,"&gt;="&amp;C149*0.85,$C$5:$C$604,"&lt;="&amp;C149*1.15)&gt;0,"recurring",""))</f>
        <v/>
      </c>
      <c r="P149" s="157" t="str">
        <f aca="false">IF(B149="","",IF(COUNTIF(B149:$B$604,B149)=1,1,""))</f>
        <v/>
      </c>
      <c r="Q149" s="157" t="str">
        <f aca="false">IF(AND(O149="recurring",P149=1),COUNTIFS($O$5:O149,"recurring",$P$5:P149,1),"")</f>
        <v/>
      </c>
    </row>
    <row r="150" customFormat="false" ht="15" hidden="false" customHeight="false" outlineLevel="0" collapsed="false">
      <c r="A150" s="110"/>
      <c r="B150" s="108"/>
      <c r="C150" s="142"/>
      <c r="D150" s="108"/>
      <c r="E150" s="183" t="str">
        <f aca="false" t="array" ref="E150:E150">IF(B150="","",IFERROR(INDEX(Keywords!$B$5:$B$165,MAX(ISNUMBER(SEARCH(Keywords!$A$5:$A$165,B150))*(Keywords!$A$5:$A$165&lt;&gt;"")*ROW(Keywords!$A$5:$A$165))-4),""))</f>
        <v/>
      </c>
      <c r="F150" s="150" t="str">
        <f aca="false">IF(B150="","",IF(L150="Transfer","Transfer",IF(L150="Income","Income",IF(D150&lt;&gt;"",D150,IF(E150&lt;&gt;"",E150,"Uncategorized")))))</f>
        <v/>
      </c>
      <c r="G150" s="108"/>
      <c r="H150" s="184" t="str">
        <f aca="false">IF(A150="","",DATE(YEAR(A150),MONTH(A150),1))</f>
        <v/>
      </c>
      <c r="I150" s="185"/>
      <c r="J150" s="144"/>
      <c r="K150" s="159" t="str">
        <f aca="false">IF(C150="","",N(C150)/IF(N150&lt;&gt;"",N150,IF(J150="",1,IFERROR(INDEX(Setup!$C$23:$C$46,MATCH(J150,Setup!$A$23:$A$46,0)),1))))</f>
        <v/>
      </c>
      <c r="L150" s="144"/>
      <c r="M150" s="108"/>
      <c r="N150" s="111"/>
      <c r="O150" s="156" t="str">
        <f aca="false">IF(OR(B150="",L150="Transfer"),"",IF(COUNTIFS($B$5:$B$604,B150,$H$5:$H$604,EDATE(H150,-1),$C$5:$C$604,"&gt;="&amp;C150*0.85,$C$5:$C$604,"&lt;="&amp;C150*1.15)&gt;0,"recurring",""))</f>
        <v/>
      </c>
      <c r="P150" s="157" t="str">
        <f aca="false">IF(B150="","",IF(COUNTIF(B150:$B$604,B150)=1,1,""))</f>
        <v/>
      </c>
      <c r="Q150" s="157" t="str">
        <f aca="false">IF(AND(O150="recurring",P150=1),COUNTIFS($O$5:O150,"recurring",$P$5:P150,1),"")</f>
        <v/>
      </c>
    </row>
    <row r="151" customFormat="false" ht="15" hidden="false" customHeight="false" outlineLevel="0" collapsed="false">
      <c r="A151" s="110"/>
      <c r="B151" s="108"/>
      <c r="C151" s="142"/>
      <c r="D151" s="108"/>
      <c r="E151" s="183" t="str">
        <f aca="false" t="array" ref="E151:E151">IF(B151="","",IFERROR(INDEX(Keywords!$B$5:$B$165,MAX(ISNUMBER(SEARCH(Keywords!$A$5:$A$165,B151))*(Keywords!$A$5:$A$165&lt;&gt;"")*ROW(Keywords!$A$5:$A$165))-4),""))</f>
        <v/>
      </c>
      <c r="F151" s="150" t="str">
        <f aca="false">IF(B151="","",IF(L151="Transfer","Transfer",IF(L151="Income","Income",IF(D151&lt;&gt;"",D151,IF(E151&lt;&gt;"",E151,"Uncategorized")))))</f>
        <v/>
      </c>
      <c r="G151" s="108"/>
      <c r="H151" s="184" t="str">
        <f aca="false">IF(A151="","",DATE(YEAR(A151),MONTH(A151),1))</f>
        <v/>
      </c>
      <c r="I151" s="185"/>
      <c r="J151" s="144"/>
      <c r="K151" s="159" t="str">
        <f aca="false">IF(C151="","",N(C151)/IF(N151&lt;&gt;"",N151,IF(J151="",1,IFERROR(INDEX(Setup!$C$23:$C$46,MATCH(J151,Setup!$A$23:$A$46,0)),1))))</f>
        <v/>
      </c>
      <c r="L151" s="144"/>
      <c r="M151" s="108"/>
      <c r="N151" s="111"/>
      <c r="O151" s="156" t="str">
        <f aca="false">IF(OR(B151="",L151="Transfer"),"",IF(COUNTIFS($B$5:$B$604,B151,$H$5:$H$604,EDATE(H151,-1),$C$5:$C$604,"&gt;="&amp;C151*0.85,$C$5:$C$604,"&lt;="&amp;C151*1.15)&gt;0,"recurring",""))</f>
        <v/>
      </c>
      <c r="P151" s="157" t="str">
        <f aca="false">IF(B151="","",IF(COUNTIF(B151:$B$604,B151)=1,1,""))</f>
        <v/>
      </c>
      <c r="Q151" s="157" t="str">
        <f aca="false">IF(AND(O151="recurring",P151=1),COUNTIFS($O$5:O151,"recurring",$P$5:P151,1),"")</f>
        <v/>
      </c>
    </row>
    <row r="152" customFormat="false" ht="15" hidden="false" customHeight="false" outlineLevel="0" collapsed="false">
      <c r="A152" s="110"/>
      <c r="B152" s="108"/>
      <c r="C152" s="142"/>
      <c r="D152" s="108"/>
      <c r="E152" s="183" t="str">
        <f aca="false" t="array" ref="E152:E152">IF(B152="","",IFERROR(INDEX(Keywords!$B$5:$B$165,MAX(ISNUMBER(SEARCH(Keywords!$A$5:$A$165,B152))*(Keywords!$A$5:$A$165&lt;&gt;"")*ROW(Keywords!$A$5:$A$165))-4),""))</f>
        <v/>
      </c>
      <c r="F152" s="150" t="str">
        <f aca="false">IF(B152="","",IF(L152="Transfer","Transfer",IF(L152="Income","Income",IF(D152&lt;&gt;"",D152,IF(E152&lt;&gt;"",E152,"Uncategorized")))))</f>
        <v/>
      </c>
      <c r="G152" s="108"/>
      <c r="H152" s="184" t="str">
        <f aca="false">IF(A152="","",DATE(YEAR(A152),MONTH(A152),1))</f>
        <v/>
      </c>
      <c r="I152" s="185"/>
      <c r="J152" s="144"/>
      <c r="K152" s="159" t="str">
        <f aca="false">IF(C152="","",N(C152)/IF(N152&lt;&gt;"",N152,IF(J152="",1,IFERROR(INDEX(Setup!$C$23:$C$46,MATCH(J152,Setup!$A$23:$A$46,0)),1))))</f>
        <v/>
      </c>
      <c r="L152" s="144"/>
      <c r="M152" s="108"/>
      <c r="N152" s="111"/>
      <c r="O152" s="156" t="str">
        <f aca="false">IF(OR(B152="",L152="Transfer"),"",IF(COUNTIFS($B$5:$B$604,B152,$H$5:$H$604,EDATE(H152,-1),$C$5:$C$604,"&gt;="&amp;C152*0.85,$C$5:$C$604,"&lt;="&amp;C152*1.15)&gt;0,"recurring",""))</f>
        <v/>
      </c>
      <c r="P152" s="157" t="str">
        <f aca="false">IF(B152="","",IF(COUNTIF(B152:$B$604,B152)=1,1,""))</f>
        <v/>
      </c>
      <c r="Q152" s="157" t="str">
        <f aca="false">IF(AND(O152="recurring",P152=1),COUNTIFS($O$5:O152,"recurring",$P$5:P152,1),"")</f>
        <v/>
      </c>
    </row>
    <row r="153" customFormat="false" ht="15" hidden="false" customHeight="false" outlineLevel="0" collapsed="false">
      <c r="A153" s="110"/>
      <c r="B153" s="108"/>
      <c r="C153" s="142"/>
      <c r="D153" s="108"/>
      <c r="E153" s="183" t="str">
        <f aca="false" t="array" ref="E153:E153">IF(B153="","",IFERROR(INDEX(Keywords!$B$5:$B$165,MAX(ISNUMBER(SEARCH(Keywords!$A$5:$A$165,B153))*(Keywords!$A$5:$A$165&lt;&gt;"")*ROW(Keywords!$A$5:$A$165))-4),""))</f>
        <v/>
      </c>
      <c r="F153" s="150" t="str">
        <f aca="false">IF(B153="","",IF(L153="Transfer","Transfer",IF(L153="Income","Income",IF(D153&lt;&gt;"",D153,IF(E153&lt;&gt;"",E153,"Uncategorized")))))</f>
        <v/>
      </c>
      <c r="G153" s="108"/>
      <c r="H153" s="184" t="str">
        <f aca="false">IF(A153="","",DATE(YEAR(A153),MONTH(A153),1))</f>
        <v/>
      </c>
      <c r="I153" s="185"/>
      <c r="J153" s="144"/>
      <c r="K153" s="159" t="str">
        <f aca="false">IF(C153="","",N(C153)/IF(N153&lt;&gt;"",N153,IF(J153="",1,IFERROR(INDEX(Setup!$C$23:$C$46,MATCH(J153,Setup!$A$23:$A$46,0)),1))))</f>
        <v/>
      </c>
      <c r="L153" s="144"/>
      <c r="M153" s="108"/>
      <c r="N153" s="111"/>
      <c r="O153" s="156" t="str">
        <f aca="false">IF(OR(B153="",L153="Transfer"),"",IF(COUNTIFS($B$5:$B$604,B153,$H$5:$H$604,EDATE(H153,-1),$C$5:$C$604,"&gt;="&amp;C153*0.85,$C$5:$C$604,"&lt;="&amp;C153*1.15)&gt;0,"recurring",""))</f>
        <v/>
      </c>
      <c r="P153" s="157" t="str">
        <f aca="false">IF(B153="","",IF(COUNTIF(B153:$B$604,B153)=1,1,""))</f>
        <v/>
      </c>
      <c r="Q153" s="157" t="str">
        <f aca="false">IF(AND(O153="recurring",P153=1),COUNTIFS($O$5:O153,"recurring",$P$5:P153,1),"")</f>
        <v/>
      </c>
    </row>
    <row r="154" customFormat="false" ht="15" hidden="false" customHeight="false" outlineLevel="0" collapsed="false">
      <c r="A154" s="110"/>
      <c r="B154" s="108"/>
      <c r="C154" s="142"/>
      <c r="D154" s="108"/>
      <c r="E154" s="183" t="str">
        <f aca="false" t="array" ref="E154:E154">IF(B154="","",IFERROR(INDEX(Keywords!$B$5:$B$165,MAX(ISNUMBER(SEARCH(Keywords!$A$5:$A$165,B154))*(Keywords!$A$5:$A$165&lt;&gt;"")*ROW(Keywords!$A$5:$A$165))-4),""))</f>
        <v/>
      </c>
      <c r="F154" s="150" t="str">
        <f aca="false">IF(B154="","",IF(L154="Transfer","Transfer",IF(L154="Income","Income",IF(D154&lt;&gt;"",D154,IF(E154&lt;&gt;"",E154,"Uncategorized")))))</f>
        <v/>
      </c>
      <c r="G154" s="108"/>
      <c r="H154" s="184" t="str">
        <f aca="false">IF(A154="","",DATE(YEAR(A154),MONTH(A154),1))</f>
        <v/>
      </c>
      <c r="I154" s="185"/>
      <c r="J154" s="144"/>
      <c r="K154" s="159" t="str">
        <f aca="false">IF(C154="","",N(C154)/IF(N154&lt;&gt;"",N154,IF(J154="",1,IFERROR(INDEX(Setup!$C$23:$C$46,MATCH(J154,Setup!$A$23:$A$46,0)),1))))</f>
        <v/>
      </c>
      <c r="L154" s="144"/>
      <c r="M154" s="108"/>
      <c r="N154" s="111"/>
      <c r="O154" s="156" t="str">
        <f aca="false">IF(OR(B154="",L154="Transfer"),"",IF(COUNTIFS($B$5:$B$604,B154,$H$5:$H$604,EDATE(H154,-1),$C$5:$C$604,"&gt;="&amp;C154*0.85,$C$5:$C$604,"&lt;="&amp;C154*1.15)&gt;0,"recurring",""))</f>
        <v/>
      </c>
      <c r="P154" s="157" t="str">
        <f aca="false">IF(B154="","",IF(COUNTIF(B154:$B$604,B154)=1,1,""))</f>
        <v/>
      </c>
      <c r="Q154" s="157" t="str">
        <f aca="false">IF(AND(O154="recurring",P154=1),COUNTIFS($O$5:O154,"recurring",$P$5:P154,1),"")</f>
        <v/>
      </c>
    </row>
    <row r="155" customFormat="false" ht="15" hidden="false" customHeight="false" outlineLevel="0" collapsed="false">
      <c r="A155" s="110"/>
      <c r="B155" s="108"/>
      <c r="C155" s="142"/>
      <c r="D155" s="108"/>
      <c r="E155" s="183" t="str">
        <f aca="false" t="array" ref="E155:E155">IF(B155="","",IFERROR(INDEX(Keywords!$B$5:$B$165,MAX(ISNUMBER(SEARCH(Keywords!$A$5:$A$165,B155))*(Keywords!$A$5:$A$165&lt;&gt;"")*ROW(Keywords!$A$5:$A$165))-4),""))</f>
        <v/>
      </c>
      <c r="F155" s="150" t="str">
        <f aca="false">IF(B155="","",IF(L155="Transfer","Transfer",IF(L155="Income","Income",IF(D155&lt;&gt;"",D155,IF(E155&lt;&gt;"",E155,"Uncategorized")))))</f>
        <v/>
      </c>
      <c r="G155" s="108"/>
      <c r="H155" s="184" t="str">
        <f aca="false">IF(A155="","",DATE(YEAR(A155),MONTH(A155),1))</f>
        <v/>
      </c>
      <c r="I155" s="185"/>
      <c r="J155" s="144"/>
      <c r="K155" s="159" t="str">
        <f aca="false">IF(C155="","",N(C155)/IF(N155&lt;&gt;"",N155,IF(J155="",1,IFERROR(INDEX(Setup!$C$23:$C$46,MATCH(J155,Setup!$A$23:$A$46,0)),1))))</f>
        <v/>
      </c>
      <c r="L155" s="144"/>
      <c r="M155" s="108"/>
      <c r="N155" s="111"/>
      <c r="O155" s="156" t="str">
        <f aca="false">IF(OR(B155="",L155="Transfer"),"",IF(COUNTIFS($B$5:$B$604,B155,$H$5:$H$604,EDATE(H155,-1),$C$5:$C$604,"&gt;="&amp;C155*0.85,$C$5:$C$604,"&lt;="&amp;C155*1.15)&gt;0,"recurring",""))</f>
        <v/>
      </c>
      <c r="P155" s="157" t="str">
        <f aca="false">IF(B155="","",IF(COUNTIF(B155:$B$604,B155)=1,1,""))</f>
        <v/>
      </c>
      <c r="Q155" s="157" t="str">
        <f aca="false">IF(AND(O155="recurring",P155=1),COUNTIFS($O$5:O155,"recurring",$P$5:P155,1),"")</f>
        <v/>
      </c>
    </row>
    <row r="156" customFormat="false" ht="15" hidden="false" customHeight="false" outlineLevel="0" collapsed="false">
      <c r="A156" s="110"/>
      <c r="B156" s="108"/>
      <c r="C156" s="142"/>
      <c r="D156" s="108"/>
      <c r="E156" s="183" t="str">
        <f aca="false" t="array" ref="E156:E156">IF(B156="","",IFERROR(INDEX(Keywords!$B$5:$B$165,MAX(ISNUMBER(SEARCH(Keywords!$A$5:$A$165,B156))*(Keywords!$A$5:$A$165&lt;&gt;"")*ROW(Keywords!$A$5:$A$165))-4),""))</f>
        <v/>
      </c>
      <c r="F156" s="150" t="str">
        <f aca="false">IF(B156="","",IF(L156="Transfer","Transfer",IF(L156="Income","Income",IF(D156&lt;&gt;"",D156,IF(E156&lt;&gt;"",E156,"Uncategorized")))))</f>
        <v/>
      </c>
      <c r="G156" s="108"/>
      <c r="H156" s="184" t="str">
        <f aca="false">IF(A156="","",DATE(YEAR(A156),MONTH(A156),1))</f>
        <v/>
      </c>
      <c r="I156" s="185"/>
      <c r="J156" s="144"/>
      <c r="K156" s="159" t="str">
        <f aca="false">IF(C156="","",N(C156)/IF(N156&lt;&gt;"",N156,IF(J156="",1,IFERROR(INDEX(Setup!$C$23:$C$46,MATCH(J156,Setup!$A$23:$A$46,0)),1))))</f>
        <v/>
      </c>
      <c r="L156" s="144"/>
      <c r="M156" s="108"/>
      <c r="N156" s="111"/>
      <c r="O156" s="156" t="str">
        <f aca="false">IF(OR(B156="",L156="Transfer"),"",IF(COUNTIFS($B$5:$B$604,B156,$H$5:$H$604,EDATE(H156,-1),$C$5:$C$604,"&gt;="&amp;C156*0.85,$C$5:$C$604,"&lt;="&amp;C156*1.15)&gt;0,"recurring",""))</f>
        <v/>
      </c>
      <c r="P156" s="157" t="str">
        <f aca="false">IF(B156="","",IF(COUNTIF(B156:$B$604,B156)=1,1,""))</f>
        <v/>
      </c>
      <c r="Q156" s="157" t="str">
        <f aca="false">IF(AND(O156="recurring",P156=1),COUNTIFS($O$5:O156,"recurring",$P$5:P156,1),"")</f>
        <v/>
      </c>
    </row>
    <row r="157" customFormat="false" ht="15" hidden="false" customHeight="false" outlineLevel="0" collapsed="false">
      <c r="A157" s="110"/>
      <c r="B157" s="108"/>
      <c r="C157" s="142"/>
      <c r="D157" s="108"/>
      <c r="E157" s="183" t="str">
        <f aca="false" t="array" ref="E157:E157">IF(B157="","",IFERROR(INDEX(Keywords!$B$5:$B$165,MAX(ISNUMBER(SEARCH(Keywords!$A$5:$A$165,B157))*(Keywords!$A$5:$A$165&lt;&gt;"")*ROW(Keywords!$A$5:$A$165))-4),""))</f>
        <v/>
      </c>
      <c r="F157" s="150" t="str">
        <f aca="false">IF(B157="","",IF(L157="Transfer","Transfer",IF(L157="Income","Income",IF(D157&lt;&gt;"",D157,IF(E157&lt;&gt;"",E157,"Uncategorized")))))</f>
        <v/>
      </c>
      <c r="G157" s="108"/>
      <c r="H157" s="184" t="str">
        <f aca="false">IF(A157="","",DATE(YEAR(A157),MONTH(A157),1))</f>
        <v/>
      </c>
      <c r="I157" s="185"/>
      <c r="J157" s="144"/>
      <c r="K157" s="159" t="str">
        <f aca="false">IF(C157="","",N(C157)/IF(N157&lt;&gt;"",N157,IF(J157="",1,IFERROR(INDEX(Setup!$C$23:$C$46,MATCH(J157,Setup!$A$23:$A$46,0)),1))))</f>
        <v/>
      </c>
      <c r="L157" s="144"/>
      <c r="M157" s="108"/>
      <c r="N157" s="111"/>
      <c r="O157" s="156" t="str">
        <f aca="false">IF(OR(B157="",L157="Transfer"),"",IF(COUNTIFS($B$5:$B$604,B157,$H$5:$H$604,EDATE(H157,-1),$C$5:$C$604,"&gt;="&amp;C157*0.85,$C$5:$C$604,"&lt;="&amp;C157*1.15)&gt;0,"recurring",""))</f>
        <v/>
      </c>
      <c r="P157" s="157" t="str">
        <f aca="false">IF(B157="","",IF(COUNTIF(B157:$B$604,B157)=1,1,""))</f>
        <v/>
      </c>
      <c r="Q157" s="157" t="str">
        <f aca="false">IF(AND(O157="recurring",P157=1),COUNTIFS($O$5:O157,"recurring",$P$5:P157,1),"")</f>
        <v/>
      </c>
    </row>
    <row r="158" customFormat="false" ht="15" hidden="false" customHeight="false" outlineLevel="0" collapsed="false">
      <c r="A158" s="110"/>
      <c r="B158" s="108"/>
      <c r="C158" s="142"/>
      <c r="D158" s="108"/>
      <c r="E158" s="183" t="str">
        <f aca="false" t="array" ref="E158:E158">IF(B158="","",IFERROR(INDEX(Keywords!$B$5:$B$165,MAX(ISNUMBER(SEARCH(Keywords!$A$5:$A$165,B158))*(Keywords!$A$5:$A$165&lt;&gt;"")*ROW(Keywords!$A$5:$A$165))-4),""))</f>
        <v/>
      </c>
      <c r="F158" s="150" t="str">
        <f aca="false">IF(B158="","",IF(L158="Transfer","Transfer",IF(L158="Income","Income",IF(D158&lt;&gt;"",D158,IF(E158&lt;&gt;"",E158,"Uncategorized")))))</f>
        <v/>
      </c>
      <c r="G158" s="108"/>
      <c r="H158" s="184" t="str">
        <f aca="false">IF(A158="","",DATE(YEAR(A158),MONTH(A158),1))</f>
        <v/>
      </c>
      <c r="I158" s="185"/>
      <c r="J158" s="144"/>
      <c r="K158" s="159" t="str">
        <f aca="false">IF(C158="","",N(C158)/IF(N158&lt;&gt;"",N158,IF(J158="",1,IFERROR(INDEX(Setup!$C$23:$C$46,MATCH(J158,Setup!$A$23:$A$46,0)),1))))</f>
        <v/>
      </c>
      <c r="L158" s="144"/>
      <c r="M158" s="108"/>
      <c r="N158" s="111"/>
      <c r="O158" s="156" t="str">
        <f aca="false">IF(OR(B158="",L158="Transfer"),"",IF(COUNTIFS($B$5:$B$604,B158,$H$5:$H$604,EDATE(H158,-1),$C$5:$C$604,"&gt;="&amp;C158*0.85,$C$5:$C$604,"&lt;="&amp;C158*1.15)&gt;0,"recurring",""))</f>
        <v/>
      </c>
      <c r="P158" s="157" t="str">
        <f aca="false">IF(B158="","",IF(COUNTIF(B158:$B$604,B158)=1,1,""))</f>
        <v/>
      </c>
      <c r="Q158" s="157" t="str">
        <f aca="false">IF(AND(O158="recurring",P158=1),COUNTIFS($O$5:O158,"recurring",$P$5:P158,1),"")</f>
        <v/>
      </c>
    </row>
    <row r="159" customFormat="false" ht="15" hidden="false" customHeight="false" outlineLevel="0" collapsed="false">
      <c r="A159" s="110"/>
      <c r="B159" s="108"/>
      <c r="C159" s="142"/>
      <c r="D159" s="108"/>
      <c r="E159" s="183" t="str">
        <f aca="false" t="array" ref="E159:E159">IF(B159="","",IFERROR(INDEX(Keywords!$B$5:$B$165,MAX(ISNUMBER(SEARCH(Keywords!$A$5:$A$165,B159))*(Keywords!$A$5:$A$165&lt;&gt;"")*ROW(Keywords!$A$5:$A$165))-4),""))</f>
        <v/>
      </c>
      <c r="F159" s="150" t="str">
        <f aca="false">IF(B159="","",IF(L159="Transfer","Transfer",IF(L159="Income","Income",IF(D159&lt;&gt;"",D159,IF(E159&lt;&gt;"",E159,"Uncategorized")))))</f>
        <v/>
      </c>
      <c r="G159" s="108"/>
      <c r="H159" s="184" t="str">
        <f aca="false">IF(A159="","",DATE(YEAR(A159),MONTH(A159),1))</f>
        <v/>
      </c>
      <c r="I159" s="185"/>
      <c r="J159" s="144"/>
      <c r="K159" s="159" t="str">
        <f aca="false">IF(C159="","",N(C159)/IF(N159&lt;&gt;"",N159,IF(J159="",1,IFERROR(INDEX(Setup!$C$23:$C$46,MATCH(J159,Setup!$A$23:$A$46,0)),1))))</f>
        <v/>
      </c>
      <c r="L159" s="144"/>
      <c r="M159" s="108"/>
      <c r="N159" s="111"/>
      <c r="O159" s="156" t="str">
        <f aca="false">IF(OR(B159="",L159="Transfer"),"",IF(COUNTIFS($B$5:$B$604,B159,$H$5:$H$604,EDATE(H159,-1),$C$5:$C$604,"&gt;="&amp;C159*0.85,$C$5:$C$604,"&lt;="&amp;C159*1.15)&gt;0,"recurring",""))</f>
        <v/>
      </c>
      <c r="P159" s="157" t="str">
        <f aca="false">IF(B159="","",IF(COUNTIF(B159:$B$604,B159)=1,1,""))</f>
        <v/>
      </c>
      <c r="Q159" s="157" t="str">
        <f aca="false">IF(AND(O159="recurring",P159=1),COUNTIFS($O$5:O159,"recurring",$P$5:P159,1),"")</f>
        <v/>
      </c>
    </row>
    <row r="160" customFormat="false" ht="15" hidden="false" customHeight="false" outlineLevel="0" collapsed="false">
      <c r="A160" s="110"/>
      <c r="B160" s="108"/>
      <c r="C160" s="142"/>
      <c r="D160" s="108"/>
      <c r="E160" s="183" t="str">
        <f aca="false" t="array" ref="E160:E160">IF(B160="","",IFERROR(INDEX(Keywords!$B$5:$B$165,MAX(ISNUMBER(SEARCH(Keywords!$A$5:$A$165,B160))*(Keywords!$A$5:$A$165&lt;&gt;"")*ROW(Keywords!$A$5:$A$165))-4),""))</f>
        <v/>
      </c>
      <c r="F160" s="150" t="str">
        <f aca="false">IF(B160="","",IF(L160="Transfer","Transfer",IF(L160="Income","Income",IF(D160&lt;&gt;"",D160,IF(E160&lt;&gt;"",E160,"Uncategorized")))))</f>
        <v/>
      </c>
      <c r="G160" s="108"/>
      <c r="H160" s="184" t="str">
        <f aca="false">IF(A160="","",DATE(YEAR(A160),MONTH(A160),1))</f>
        <v/>
      </c>
      <c r="I160" s="185"/>
      <c r="J160" s="144"/>
      <c r="K160" s="159" t="str">
        <f aca="false">IF(C160="","",N(C160)/IF(N160&lt;&gt;"",N160,IF(J160="",1,IFERROR(INDEX(Setup!$C$23:$C$46,MATCH(J160,Setup!$A$23:$A$46,0)),1))))</f>
        <v/>
      </c>
      <c r="L160" s="144"/>
      <c r="M160" s="108"/>
      <c r="N160" s="111"/>
      <c r="O160" s="156" t="str">
        <f aca="false">IF(OR(B160="",L160="Transfer"),"",IF(COUNTIFS($B$5:$B$604,B160,$H$5:$H$604,EDATE(H160,-1),$C$5:$C$604,"&gt;="&amp;C160*0.85,$C$5:$C$604,"&lt;="&amp;C160*1.15)&gt;0,"recurring",""))</f>
        <v/>
      </c>
      <c r="P160" s="157" t="str">
        <f aca="false">IF(B160="","",IF(COUNTIF(B160:$B$604,B160)=1,1,""))</f>
        <v/>
      </c>
      <c r="Q160" s="157" t="str">
        <f aca="false">IF(AND(O160="recurring",P160=1),COUNTIFS($O$5:O160,"recurring",$P$5:P160,1),"")</f>
        <v/>
      </c>
    </row>
    <row r="161" customFormat="false" ht="15" hidden="false" customHeight="false" outlineLevel="0" collapsed="false">
      <c r="A161" s="110"/>
      <c r="B161" s="108"/>
      <c r="C161" s="142"/>
      <c r="D161" s="108"/>
      <c r="E161" s="183" t="str">
        <f aca="false" t="array" ref="E161:E161">IF(B161="","",IFERROR(INDEX(Keywords!$B$5:$B$165,MAX(ISNUMBER(SEARCH(Keywords!$A$5:$A$165,B161))*(Keywords!$A$5:$A$165&lt;&gt;"")*ROW(Keywords!$A$5:$A$165))-4),""))</f>
        <v/>
      </c>
      <c r="F161" s="150" t="str">
        <f aca="false">IF(B161="","",IF(L161="Transfer","Transfer",IF(L161="Income","Income",IF(D161&lt;&gt;"",D161,IF(E161&lt;&gt;"",E161,"Uncategorized")))))</f>
        <v/>
      </c>
      <c r="G161" s="108"/>
      <c r="H161" s="184" t="str">
        <f aca="false">IF(A161="","",DATE(YEAR(A161),MONTH(A161),1))</f>
        <v/>
      </c>
      <c r="I161" s="185"/>
      <c r="J161" s="144"/>
      <c r="K161" s="159" t="str">
        <f aca="false">IF(C161="","",N(C161)/IF(N161&lt;&gt;"",N161,IF(J161="",1,IFERROR(INDEX(Setup!$C$23:$C$46,MATCH(J161,Setup!$A$23:$A$46,0)),1))))</f>
        <v/>
      </c>
      <c r="L161" s="144"/>
      <c r="M161" s="108"/>
      <c r="N161" s="111"/>
      <c r="O161" s="156" t="str">
        <f aca="false">IF(OR(B161="",L161="Transfer"),"",IF(COUNTIFS($B$5:$B$604,B161,$H$5:$H$604,EDATE(H161,-1),$C$5:$C$604,"&gt;="&amp;C161*0.85,$C$5:$C$604,"&lt;="&amp;C161*1.15)&gt;0,"recurring",""))</f>
        <v/>
      </c>
      <c r="P161" s="157" t="str">
        <f aca="false">IF(B161="","",IF(COUNTIF(B161:$B$604,B161)=1,1,""))</f>
        <v/>
      </c>
      <c r="Q161" s="157" t="str">
        <f aca="false">IF(AND(O161="recurring",P161=1),COUNTIFS($O$5:O161,"recurring",$P$5:P161,1),"")</f>
        <v/>
      </c>
    </row>
    <row r="162" customFormat="false" ht="15" hidden="false" customHeight="false" outlineLevel="0" collapsed="false">
      <c r="A162" s="110"/>
      <c r="B162" s="108"/>
      <c r="C162" s="142"/>
      <c r="D162" s="108"/>
      <c r="E162" s="183" t="str">
        <f aca="false" t="array" ref="E162:E162">IF(B162="","",IFERROR(INDEX(Keywords!$B$5:$B$165,MAX(ISNUMBER(SEARCH(Keywords!$A$5:$A$165,B162))*(Keywords!$A$5:$A$165&lt;&gt;"")*ROW(Keywords!$A$5:$A$165))-4),""))</f>
        <v/>
      </c>
      <c r="F162" s="150" t="str">
        <f aca="false">IF(B162="","",IF(L162="Transfer","Transfer",IF(L162="Income","Income",IF(D162&lt;&gt;"",D162,IF(E162&lt;&gt;"",E162,"Uncategorized")))))</f>
        <v/>
      </c>
      <c r="G162" s="108"/>
      <c r="H162" s="184" t="str">
        <f aca="false">IF(A162="","",DATE(YEAR(A162),MONTH(A162),1))</f>
        <v/>
      </c>
      <c r="I162" s="185"/>
      <c r="J162" s="144"/>
      <c r="K162" s="159" t="str">
        <f aca="false">IF(C162="","",N(C162)/IF(N162&lt;&gt;"",N162,IF(J162="",1,IFERROR(INDEX(Setup!$C$23:$C$46,MATCH(J162,Setup!$A$23:$A$46,0)),1))))</f>
        <v/>
      </c>
      <c r="L162" s="144"/>
      <c r="M162" s="108"/>
      <c r="N162" s="111"/>
      <c r="O162" s="156" t="str">
        <f aca="false">IF(OR(B162="",L162="Transfer"),"",IF(COUNTIFS($B$5:$B$604,B162,$H$5:$H$604,EDATE(H162,-1),$C$5:$C$604,"&gt;="&amp;C162*0.85,$C$5:$C$604,"&lt;="&amp;C162*1.15)&gt;0,"recurring",""))</f>
        <v/>
      </c>
      <c r="P162" s="157" t="str">
        <f aca="false">IF(B162="","",IF(COUNTIF(B162:$B$604,B162)=1,1,""))</f>
        <v/>
      </c>
      <c r="Q162" s="157" t="str">
        <f aca="false">IF(AND(O162="recurring",P162=1),COUNTIFS($O$5:O162,"recurring",$P$5:P162,1),"")</f>
        <v/>
      </c>
    </row>
    <row r="163" customFormat="false" ht="15" hidden="false" customHeight="false" outlineLevel="0" collapsed="false">
      <c r="A163" s="110"/>
      <c r="B163" s="108"/>
      <c r="C163" s="142"/>
      <c r="D163" s="108"/>
      <c r="E163" s="183" t="str">
        <f aca="false" t="array" ref="E163:E163">IF(B163="","",IFERROR(INDEX(Keywords!$B$5:$B$165,MAX(ISNUMBER(SEARCH(Keywords!$A$5:$A$165,B163))*(Keywords!$A$5:$A$165&lt;&gt;"")*ROW(Keywords!$A$5:$A$165))-4),""))</f>
        <v/>
      </c>
      <c r="F163" s="150" t="str">
        <f aca="false">IF(B163="","",IF(L163="Transfer","Transfer",IF(L163="Income","Income",IF(D163&lt;&gt;"",D163,IF(E163&lt;&gt;"",E163,"Uncategorized")))))</f>
        <v/>
      </c>
      <c r="G163" s="108"/>
      <c r="H163" s="184" t="str">
        <f aca="false">IF(A163="","",DATE(YEAR(A163),MONTH(A163),1))</f>
        <v/>
      </c>
      <c r="I163" s="185"/>
      <c r="J163" s="144"/>
      <c r="K163" s="159" t="str">
        <f aca="false">IF(C163="","",N(C163)/IF(N163&lt;&gt;"",N163,IF(J163="",1,IFERROR(INDEX(Setup!$C$23:$C$46,MATCH(J163,Setup!$A$23:$A$46,0)),1))))</f>
        <v/>
      </c>
      <c r="L163" s="144"/>
      <c r="M163" s="108"/>
      <c r="N163" s="111"/>
      <c r="O163" s="156" t="str">
        <f aca="false">IF(OR(B163="",L163="Transfer"),"",IF(COUNTIFS($B$5:$B$604,B163,$H$5:$H$604,EDATE(H163,-1),$C$5:$C$604,"&gt;="&amp;C163*0.85,$C$5:$C$604,"&lt;="&amp;C163*1.15)&gt;0,"recurring",""))</f>
        <v/>
      </c>
      <c r="P163" s="157" t="str">
        <f aca="false">IF(B163="","",IF(COUNTIF(B163:$B$604,B163)=1,1,""))</f>
        <v/>
      </c>
      <c r="Q163" s="157" t="str">
        <f aca="false">IF(AND(O163="recurring",P163=1),COUNTIFS($O$5:O163,"recurring",$P$5:P163,1),"")</f>
        <v/>
      </c>
    </row>
    <row r="164" customFormat="false" ht="15" hidden="false" customHeight="false" outlineLevel="0" collapsed="false">
      <c r="A164" s="110"/>
      <c r="B164" s="108"/>
      <c r="C164" s="142"/>
      <c r="D164" s="108"/>
      <c r="E164" s="183" t="str">
        <f aca="false" t="array" ref="E164:E164">IF(B164="","",IFERROR(INDEX(Keywords!$B$5:$B$165,MAX(ISNUMBER(SEARCH(Keywords!$A$5:$A$165,B164))*(Keywords!$A$5:$A$165&lt;&gt;"")*ROW(Keywords!$A$5:$A$165))-4),""))</f>
        <v/>
      </c>
      <c r="F164" s="150" t="str">
        <f aca="false">IF(B164="","",IF(L164="Transfer","Transfer",IF(L164="Income","Income",IF(D164&lt;&gt;"",D164,IF(E164&lt;&gt;"",E164,"Uncategorized")))))</f>
        <v/>
      </c>
      <c r="G164" s="108"/>
      <c r="H164" s="184" t="str">
        <f aca="false">IF(A164="","",DATE(YEAR(A164),MONTH(A164),1))</f>
        <v/>
      </c>
      <c r="I164" s="185"/>
      <c r="J164" s="144"/>
      <c r="K164" s="159" t="str">
        <f aca="false">IF(C164="","",N(C164)/IF(N164&lt;&gt;"",N164,IF(J164="",1,IFERROR(INDEX(Setup!$C$23:$C$46,MATCH(J164,Setup!$A$23:$A$46,0)),1))))</f>
        <v/>
      </c>
      <c r="L164" s="144"/>
      <c r="M164" s="108"/>
      <c r="N164" s="111"/>
      <c r="O164" s="156" t="str">
        <f aca="false">IF(OR(B164="",L164="Transfer"),"",IF(COUNTIFS($B$5:$B$604,B164,$H$5:$H$604,EDATE(H164,-1),$C$5:$C$604,"&gt;="&amp;C164*0.85,$C$5:$C$604,"&lt;="&amp;C164*1.15)&gt;0,"recurring",""))</f>
        <v/>
      </c>
      <c r="P164" s="157" t="str">
        <f aca="false">IF(B164="","",IF(COUNTIF(B164:$B$604,B164)=1,1,""))</f>
        <v/>
      </c>
      <c r="Q164" s="157" t="str">
        <f aca="false">IF(AND(O164="recurring",P164=1),COUNTIFS($O$5:O164,"recurring",$P$5:P164,1),"")</f>
        <v/>
      </c>
    </row>
    <row r="165" customFormat="false" ht="15" hidden="false" customHeight="false" outlineLevel="0" collapsed="false">
      <c r="A165" s="110"/>
      <c r="B165" s="108"/>
      <c r="C165" s="142"/>
      <c r="D165" s="108"/>
      <c r="E165" s="183" t="str">
        <f aca="false" t="array" ref="E165:E165">IF(B165="","",IFERROR(INDEX(Keywords!$B$5:$B$165,MAX(ISNUMBER(SEARCH(Keywords!$A$5:$A$165,B165))*(Keywords!$A$5:$A$165&lt;&gt;"")*ROW(Keywords!$A$5:$A$165))-4),""))</f>
        <v/>
      </c>
      <c r="F165" s="150" t="str">
        <f aca="false">IF(B165="","",IF(L165="Transfer","Transfer",IF(L165="Income","Income",IF(D165&lt;&gt;"",D165,IF(E165&lt;&gt;"",E165,"Uncategorized")))))</f>
        <v/>
      </c>
      <c r="G165" s="108"/>
      <c r="H165" s="184" t="str">
        <f aca="false">IF(A165="","",DATE(YEAR(A165),MONTH(A165),1))</f>
        <v/>
      </c>
      <c r="I165" s="185"/>
      <c r="J165" s="144"/>
      <c r="K165" s="159" t="str">
        <f aca="false">IF(C165="","",N(C165)/IF(N165&lt;&gt;"",N165,IF(J165="",1,IFERROR(INDEX(Setup!$C$23:$C$46,MATCH(J165,Setup!$A$23:$A$46,0)),1))))</f>
        <v/>
      </c>
      <c r="L165" s="144"/>
      <c r="M165" s="108"/>
      <c r="N165" s="111"/>
      <c r="O165" s="156" t="str">
        <f aca="false">IF(OR(B165="",L165="Transfer"),"",IF(COUNTIFS($B$5:$B$604,B165,$H$5:$H$604,EDATE(H165,-1),$C$5:$C$604,"&gt;="&amp;C165*0.85,$C$5:$C$604,"&lt;="&amp;C165*1.15)&gt;0,"recurring",""))</f>
        <v/>
      </c>
      <c r="P165" s="157" t="str">
        <f aca="false">IF(B165="","",IF(COUNTIF(B165:$B$604,B165)=1,1,""))</f>
        <v/>
      </c>
      <c r="Q165" s="157" t="str">
        <f aca="false">IF(AND(O165="recurring",P165=1),COUNTIFS($O$5:O165,"recurring",$P$5:P165,1),"")</f>
        <v/>
      </c>
    </row>
    <row r="166" customFormat="false" ht="15" hidden="false" customHeight="false" outlineLevel="0" collapsed="false">
      <c r="A166" s="110"/>
      <c r="B166" s="108"/>
      <c r="C166" s="142"/>
      <c r="D166" s="108"/>
      <c r="E166" s="183" t="str">
        <f aca="false" t="array" ref="E166:E166">IF(B166="","",IFERROR(INDEX(Keywords!$B$5:$B$165,MAX(ISNUMBER(SEARCH(Keywords!$A$5:$A$165,B166))*(Keywords!$A$5:$A$165&lt;&gt;"")*ROW(Keywords!$A$5:$A$165))-4),""))</f>
        <v/>
      </c>
      <c r="F166" s="150" t="str">
        <f aca="false">IF(B166="","",IF(L166="Transfer","Transfer",IF(L166="Income","Income",IF(D166&lt;&gt;"",D166,IF(E166&lt;&gt;"",E166,"Uncategorized")))))</f>
        <v/>
      </c>
      <c r="G166" s="108"/>
      <c r="H166" s="184" t="str">
        <f aca="false">IF(A166="","",DATE(YEAR(A166),MONTH(A166),1))</f>
        <v/>
      </c>
      <c r="I166" s="185"/>
      <c r="J166" s="144"/>
      <c r="K166" s="159" t="str">
        <f aca="false">IF(C166="","",N(C166)/IF(N166&lt;&gt;"",N166,IF(J166="",1,IFERROR(INDEX(Setup!$C$23:$C$46,MATCH(J166,Setup!$A$23:$A$46,0)),1))))</f>
        <v/>
      </c>
      <c r="L166" s="144"/>
      <c r="M166" s="108"/>
      <c r="N166" s="111"/>
      <c r="O166" s="156" t="str">
        <f aca="false">IF(OR(B166="",L166="Transfer"),"",IF(COUNTIFS($B$5:$B$604,B166,$H$5:$H$604,EDATE(H166,-1),$C$5:$C$604,"&gt;="&amp;C166*0.85,$C$5:$C$604,"&lt;="&amp;C166*1.15)&gt;0,"recurring",""))</f>
        <v/>
      </c>
      <c r="P166" s="157" t="str">
        <f aca="false">IF(B166="","",IF(COUNTIF(B166:$B$604,B166)=1,1,""))</f>
        <v/>
      </c>
      <c r="Q166" s="157" t="str">
        <f aca="false">IF(AND(O166="recurring",P166=1),COUNTIFS($O$5:O166,"recurring",$P$5:P166,1),"")</f>
        <v/>
      </c>
    </row>
    <row r="167" customFormat="false" ht="15" hidden="false" customHeight="false" outlineLevel="0" collapsed="false">
      <c r="A167" s="110"/>
      <c r="B167" s="108"/>
      <c r="C167" s="142"/>
      <c r="D167" s="108"/>
      <c r="E167" s="183" t="str">
        <f aca="false" t="array" ref="E167:E167">IF(B167="","",IFERROR(INDEX(Keywords!$B$5:$B$165,MAX(ISNUMBER(SEARCH(Keywords!$A$5:$A$165,B167))*(Keywords!$A$5:$A$165&lt;&gt;"")*ROW(Keywords!$A$5:$A$165))-4),""))</f>
        <v/>
      </c>
      <c r="F167" s="150" t="str">
        <f aca="false">IF(B167="","",IF(L167="Transfer","Transfer",IF(L167="Income","Income",IF(D167&lt;&gt;"",D167,IF(E167&lt;&gt;"",E167,"Uncategorized")))))</f>
        <v/>
      </c>
      <c r="G167" s="108"/>
      <c r="H167" s="184" t="str">
        <f aca="false">IF(A167="","",DATE(YEAR(A167),MONTH(A167),1))</f>
        <v/>
      </c>
      <c r="I167" s="185"/>
      <c r="J167" s="144"/>
      <c r="K167" s="159" t="str">
        <f aca="false">IF(C167="","",N(C167)/IF(N167&lt;&gt;"",N167,IF(J167="",1,IFERROR(INDEX(Setup!$C$23:$C$46,MATCH(J167,Setup!$A$23:$A$46,0)),1))))</f>
        <v/>
      </c>
      <c r="L167" s="144"/>
      <c r="M167" s="108"/>
      <c r="N167" s="111"/>
      <c r="O167" s="156" t="str">
        <f aca="false">IF(OR(B167="",L167="Transfer"),"",IF(COUNTIFS($B$5:$B$604,B167,$H$5:$H$604,EDATE(H167,-1),$C$5:$C$604,"&gt;="&amp;C167*0.85,$C$5:$C$604,"&lt;="&amp;C167*1.15)&gt;0,"recurring",""))</f>
        <v/>
      </c>
      <c r="P167" s="157" t="str">
        <f aca="false">IF(B167="","",IF(COUNTIF(B167:$B$604,B167)=1,1,""))</f>
        <v/>
      </c>
      <c r="Q167" s="157" t="str">
        <f aca="false">IF(AND(O167="recurring",P167=1),COUNTIFS($O$5:O167,"recurring",$P$5:P167,1),"")</f>
        <v/>
      </c>
    </row>
    <row r="168" customFormat="false" ht="15" hidden="false" customHeight="false" outlineLevel="0" collapsed="false">
      <c r="A168" s="110"/>
      <c r="B168" s="108"/>
      <c r="C168" s="142"/>
      <c r="D168" s="108"/>
      <c r="E168" s="183" t="str">
        <f aca="false" t="array" ref="E168:E168">IF(B168="","",IFERROR(INDEX(Keywords!$B$5:$B$165,MAX(ISNUMBER(SEARCH(Keywords!$A$5:$A$165,B168))*(Keywords!$A$5:$A$165&lt;&gt;"")*ROW(Keywords!$A$5:$A$165))-4),""))</f>
        <v/>
      </c>
      <c r="F168" s="150" t="str">
        <f aca="false">IF(B168="","",IF(L168="Transfer","Transfer",IF(L168="Income","Income",IF(D168&lt;&gt;"",D168,IF(E168&lt;&gt;"",E168,"Uncategorized")))))</f>
        <v/>
      </c>
      <c r="G168" s="108"/>
      <c r="H168" s="184" t="str">
        <f aca="false">IF(A168="","",DATE(YEAR(A168),MONTH(A168),1))</f>
        <v/>
      </c>
      <c r="I168" s="185"/>
      <c r="J168" s="144"/>
      <c r="K168" s="159" t="str">
        <f aca="false">IF(C168="","",N(C168)/IF(N168&lt;&gt;"",N168,IF(J168="",1,IFERROR(INDEX(Setup!$C$23:$C$46,MATCH(J168,Setup!$A$23:$A$46,0)),1))))</f>
        <v/>
      </c>
      <c r="L168" s="144"/>
      <c r="M168" s="108"/>
      <c r="N168" s="111"/>
      <c r="O168" s="156" t="str">
        <f aca="false">IF(OR(B168="",L168="Transfer"),"",IF(COUNTIFS($B$5:$B$604,B168,$H$5:$H$604,EDATE(H168,-1),$C$5:$C$604,"&gt;="&amp;C168*0.85,$C$5:$C$604,"&lt;="&amp;C168*1.15)&gt;0,"recurring",""))</f>
        <v/>
      </c>
      <c r="P168" s="157" t="str">
        <f aca="false">IF(B168="","",IF(COUNTIF(B168:$B$604,B168)=1,1,""))</f>
        <v/>
      </c>
      <c r="Q168" s="157" t="str">
        <f aca="false">IF(AND(O168="recurring",P168=1),COUNTIFS($O$5:O168,"recurring",$P$5:P168,1),"")</f>
        <v/>
      </c>
    </row>
    <row r="169" customFormat="false" ht="15" hidden="false" customHeight="false" outlineLevel="0" collapsed="false">
      <c r="A169" s="110"/>
      <c r="B169" s="108"/>
      <c r="C169" s="142"/>
      <c r="D169" s="108"/>
      <c r="E169" s="183" t="str">
        <f aca="false" t="array" ref="E169:E169">IF(B169="","",IFERROR(INDEX(Keywords!$B$5:$B$165,MAX(ISNUMBER(SEARCH(Keywords!$A$5:$A$165,B169))*(Keywords!$A$5:$A$165&lt;&gt;"")*ROW(Keywords!$A$5:$A$165))-4),""))</f>
        <v/>
      </c>
      <c r="F169" s="150" t="str">
        <f aca="false">IF(B169="","",IF(L169="Transfer","Transfer",IF(L169="Income","Income",IF(D169&lt;&gt;"",D169,IF(E169&lt;&gt;"",E169,"Uncategorized")))))</f>
        <v/>
      </c>
      <c r="G169" s="108"/>
      <c r="H169" s="184" t="str">
        <f aca="false">IF(A169="","",DATE(YEAR(A169),MONTH(A169),1))</f>
        <v/>
      </c>
      <c r="I169" s="185"/>
      <c r="J169" s="144"/>
      <c r="K169" s="159" t="str">
        <f aca="false">IF(C169="","",N(C169)/IF(N169&lt;&gt;"",N169,IF(J169="",1,IFERROR(INDEX(Setup!$C$23:$C$46,MATCH(J169,Setup!$A$23:$A$46,0)),1))))</f>
        <v/>
      </c>
      <c r="L169" s="144"/>
      <c r="M169" s="108"/>
      <c r="N169" s="111"/>
      <c r="O169" s="156" t="str">
        <f aca="false">IF(OR(B169="",L169="Transfer"),"",IF(COUNTIFS($B$5:$B$604,B169,$H$5:$H$604,EDATE(H169,-1),$C$5:$C$604,"&gt;="&amp;C169*0.85,$C$5:$C$604,"&lt;="&amp;C169*1.15)&gt;0,"recurring",""))</f>
        <v/>
      </c>
      <c r="P169" s="157" t="str">
        <f aca="false">IF(B169="","",IF(COUNTIF(B169:$B$604,B169)=1,1,""))</f>
        <v/>
      </c>
      <c r="Q169" s="157" t="str">
        <f aca="false">IF(AND(O169="recurring",P169=1),COUNTIFS($O$5:O169,"recurring",$P$5:P169,1),"")</f>
        <v/>
      </c>
    </row>
    <row r="170" customFormat="false" ht="15" hidden="false" customHeight="false" outlineLevel="0" collapsed="false">
      <c r="A170" s="110"/>
      <c r="B170" s="108"/>
      <c r="C170" s="142"/>
      <c r="D170" s="108"/>
      <c r="E170" s="183" t="str">
        <f aca="false" t="array" ref="E170:E170">IF(B170="","",IFERROR(INDEX(Keywords!$B$5:$B$165,MAX(ISNUMBER(SEARCH(Keywords!$A$5:$A$165,B170))*(Keywords!$A$5:$A$165&lt;&gt;"")*ROW(Keywords!$A$5:$A$165))-4),""))</f>
        <v/>
      </c>
      <c r="F170" s="150" t="str">
        <f aca="false">IF(B170="","",IF(L170="Transfer","Transfer",IF(L170="Income","Income",IF(D170&lt;&gt;"",D170,IF(E170&lt;&gt;"",E170,"Uncategorized")))))</f>
        <v/>
      </c>
      <c r="G170" s="108"/>
      <c r="H170" s="184" t="str">
        <f aca="false">IF(A170="","",DATE(YEAR(A170),MONTH(A170),1))</f>
        <v/>
      </c>
      <c r="I170" s="185"/>
      <c r="J170" s="144"/>
      <c r="K170" s="159" t="str">
        <f aca="false">IF(C170="","",N(C170)/IF(N170&lt;&gt;"",N170,IF(J170="",1,IFERROR(INDEX(Setup!$C$23:$C$46,MATCH(J170,Setup!$A$23:$A$46,0)),1))))</f>
        <v/>
      </c>
      <c r="L170" s="144"/>
      <c r="M170" s="108"/>
      <c r="N170" s="111"/>
      <c r="O170" s="156" t="str">
        <f aca="false">IF(OR(B170="",L170="Transfer"),"",IF(COUNTIFS($B$5:$B$604,B170,$H$5:$H$604,EDATE(H170,-1),$C$5:$C$604,"&gt;="&amp;C170*0.85,$C$5:$C$604,"&lt;="&amp;C170*1.15)&gt;0,"recurring",""))</f>
        <v/>
      </c>
      <c r="P170" s="157" t="str">
        <f aca="false">IF(B170="","",IF(COUNTIF(B170:$B$604,B170)=1,1,""))</f>
        <v/>
      </c>
      <c r="Q170" s="157" t="str">
        <f aca="false">IF(AND(O170="recurring",P170=1),COUNTIFS($O$5:O170,"recurring",$P$5:P170,1),"")</f>
        <v/>
      </c>
    </row>
    <row r="171" customFormat="false" ht="15" hidden="false" customHeight="false" outlineLevel="0" collapsed="false">
      <c r="A171" s="110"/>
      <c r="B171" s="108"/>
      <c r="C171" s="142"/>
      <c r="D171" s="108"/>
      <c r="E171" s="183" t="str">
        <f aca="false" t="array" ref="E171:E171">IF(B171="","",IFERROR(INDEX(Keywords!$B$5:$B$165,MAX(ISNUMBER(SEARCH(Keywords!$A$5:$A$165,B171))*(Keywords!$A$5:$A$165&lt;&gt;"")*ROW(Keywords!$A$5:$A$165))-4),""))</f>
        <v/>
      </c>
      <c r="F171" s="150" t="str">
        <f aca="false">IF(B171="","",IF(L171="Transfer","Transfer",IF(L171="Income","Income",IF(D171&lt;&gt;"",D171,IF(E171&lt;&gt;"",E171,"Uncategorized")))))</f>
        <v/>
      </c>
      <c r="G171" s="108"/>
      <c r="H171" s="184" t="str">
        <f aca="false">IF(A171="","",DATE(YEAR(A171),MONTH(A171),1))</f>
        <v/>
      </c>
      <c r="I171" s="185"/>
      <c r="J171" s="144"/>
      <c r="K171" s="159" t="str">
        <f aca="false">IF(C171="","",N(C171)/IF(N171&lt;&gt;"",N171,IF(J171="",1,IFERROR(INDEX(Setup!$C$23:$C$46,MATCH(J171,Setup!$A$23:$A$46,0)),1))))</f>
        <v/>
      </c>
      <c r="L171" s="144"/>
      <c r="M171" s="108"/>
      <c r="N171" s="111"/>
      <c r="O171" s="156" t="str">
        <f aca="false">IF(OR(B171="",L171="Transfer"),"",IF(COUNTIFS($B$5:$B$604,B171,$H$5:$H$604,EDATE(H171,-1),$C$5:$C$604,"&gt;="&amp;C171*0.85,$C$5:$C$604,"&lt;="&amp;C171*1.15)&gt;0,"recurring",""))</f>
        <v/>
      </c>
      <c r="P171" s="157" t="str">
        <f aca="false">IF(B171="","",IF(COUNTIF(B171:$B$604,B171)=1,1,""))</f>
        <v/>
      </c>
      <c r="Q171" s="157" t="str">
        <f aca="false">IF(AND(O171="recurring",P171=1),COUNTIFS($O$5:O171,"recurring",$P$5:P171,1),"")</f>
        <v/>
      </c>
    </row>
    <row r="172" customFormat="false" ht="15" hidden="false" customHeight="false" outlineLevel="0" collapsed="false">
      <c r="A172" s="110"/>
      <c r="B172" s="108"/>
      <c r="C172" s="142"/>
      <c r="D172" s="108"/>
      <c r="E172" s="183" t="str">
        <f aca="false" t="array" ref="E172:E172">IF(B172="","",IFERROR(INDEX(Keywords!$B$5:$B$165,MAX(ISNUMBER(SEARCH(Keywords!$A$5:$A$165,B172))*(Keywords!$A$5:$A$165&lt;&gt;"")*ROW(Keywords!$A$5:$A$165))-4),""))</f>
        <v/>
      </c>
      <c r="F172" s="150" t="str">
        <f aca="false">IF(B172="","",IF(L172="Transfer","Transfer",IF(L172="Income","Income",IF(D172&lt;&gt;"",D172,IF(E172&lt;&gt;"",E172,"Uncategorized")))))</f>
        <v/>
      </c>
      <c r="G172" s="108"/>
      <c r="H172" s="184" t="str">
        <f aca="false">IF(A172="","",DATE(YEAR(A172),MONTH(A172),1))</f>
        <v/>
      </c>
      <c r="I172" s="185"/>
      <c r="J172" s="144"/>
      <c r="K172" s="159" t="str">
        <f aca="false">IF(C172="","",N(C172)/IF(N172&lt;&gt;"",N172,IF(J172="",1,IFERROR(INDEX(Setup!$C$23:$C$46,MATCH(J172,Setup!$A$23:$A$46,0)),1))))</f>
        <v/>
      </c>
      <c r="L172" s="144"/>
      <c r="M172" s="108"/>
      <c r="N172" s="111"/>
      <c r="O172" s="156" t="str">
        <f aca="false">IF(OR(B172="",L172="Transfer"),"",IF(COUNTIFS($B$5:$B$604,B172,$H$5:$H$604,EDATE(H172,-1),$C$5:$C$604,"&gt;="&amp;C172*0.85,$C$5:$C$604,"&lt;="&amp;C172*1.15)&gt;0,"recurring",""))</f>
        <v/>
      </c>
      <c r="P172" s="157" t="str">
        <f aca="false">IF(B172="","",IF(COUNTIF(B172:$B$604,B172)=1,1,""))</f>
        <v/>
      </c>
      <c r="Q172" s="157" t="str">
        <f aca="false">IF(AND(O172="recurring",P172=1),COUNTIFS($O$5:O172,"recurring",$P$5:P172,1),"")</f>
        <v/>
      </c>
    </row>
    <row r="173" customFormat="false" ht="15" hidden="false" customHeight="false" outlineLevel="0" collapsed="false">
      <c r="A173" s="110"/>
      <c r="B173" s="108"/>
      <c r="C173" s="142"/>
      <c r="D173" s="108"/>
      <c r="E173" s="183" t="str">
        <f aca="false" t="array" ref="E173:E173">IF(B173="","",IFERROR(INDEX(Keywords!$B$5:$B$165,MAX(ISNUMBER(SEARCH(Keywords!$A$5:$A$165,B173))*(Keywords!$A$5:$A$165&lt;&gt;"")*ROW(Keywords!$A$5:$A$165))-4),""))</f>
        <v/>
      </c>
      <c r="F173" s="150" t="str">
        <f aca="false">IF(B173="","",IF(L173="Transfer","Transfer",IF(L173="Income","Income",IF(D173&lt;&gt;"",D173,IF(E173&lt;&gt;"",E173,"Uncategorized")))))</f>
        <v/>
      </c>
      <c r="G173" s="108"/>
      <c r="H173" s="184" t="str">
        <f aca="false">IF(A173="","",DATE(YEAR(A173),MONTH(A173),1))</f>
        <v/>
      </c>
      <c r="I173" s="185"/>
      <c r="J173" s="144"/>
      <c r="K173" s="159" t="str">
        <f aca="false">IF(C173="","",N(C173)/IF(N173&lt;&gt;"",N173,IF(J173="",1,IFERROR(INDEX(Setup!$C$23:$C$46,MATCH(J173,Setup!$A$23:$A$46,0)),1))))</f>
        <v/>
      </c>
      <c r="L173" s="144"/>
      <c r="M173" s="108"/>
      <c r="N173" s="111"/>
      <c r="O173" s="156" t="str">
        <f aca="false">IF(OR(B173="",L173="Transfer"),"",IF(COUNTIFS($B$5:$B$604,B173,$H$5:$H$604,EDATE(H173,-1),$C$5:$C$604,"&gt;="&amp;C173*0.85,$C$5:$C$604,"&lt;="&amp;C173*1.15)&gt;0,"recurring",""))</f>
        <v/>
      </c>
      <c r="P173" s="157" t="str">
        <f aca="false">IF(B173="","",IF(COUNTIF(B173:$B$604,B173)=1,1,""))</f>
        <v/>
      </c>
      <c r="Q173" s="157" t="str">
        <f aca="false">IF(AND(O173="recurring",P173=1),COUNTIFS($O$5:O173,"recurring",$P$5:P173,1),"")</f>
        <v/>
      </c>
    </row>
    <row r="174" customFormat="false" ht="15" hidden="false" customHeight="false" outlineLevel="0" collapsed="false">
      <c r="A174" s="110"/>
      <c r="B174" s="108"/>
      <c r="C174" s="142"/>
      <c r="D174" s="108"/>
      <c r="E174" s="183" t="str">
        <f aca="false" t="array" ref="E174:E174">IF(B174="","",IFERROR(INDEX(Keywords!$B$5:$B$165,MAX(ISNUMBER(SEARCH(Keywords!$A$5:$A$165,B174))*(Keywords!$A$5:$A$165&lt;&gt;"")*ROW(Keywords!$A$5:$A$165))-4),""))</f>
        <v/>
      </c>
      <c r="F174" s="150" t="str">
        <f aca="false">IF(B174="","",IF(L174="Transfer","Transfer",IF(L174="Income","Income",IF(D174&lt;&gt;"",D174,IF(E174&lt;&gt;"",E174,"Uncategorized")))))</f>
        <v/>
      </c>
      <c r="G174" s="108"/>
      <c r="H174" s="184" t="str">
        <f aca="false">IF(A174="","",DATE(YEAR(A174),MONTH(A174),1))</f>
        <v/>
      </c>
      <c r="I174" s="185"/>
      <c r="J174" s="144"/>
      <c r="K174" s="159" t="str">
        <f aca="false">IF(C174="","",N(C174)/IF(N174&lt;&gt;"",N174,IF(J174="",1,IFERROR(INDEX(Setup!$C$23:$C$46,MATCH(J174,Setup!$A$23:$A$46,0)),1))))</f>
        <v/>
      </c>
      <c r="L174" s="144"/>
      <c r="M174" s="108"/>
      <c r="N174" s="111"/>
      <c r="O174" s="156" t="str">
        <f aca="false">IF(OR(B174="",L174="Transfer"),"",IF(COUNTIFS($B$5:$B$604,B174,$H$5:$H$604,EDATE(H174,-1),$C$5:$C$604,"&gt;="&amp;C174*0.85,$C$5:$C$604,"&lt;="&amp;C174*1.15)&gt;0,"recurring",""))</f>
        <v/>
      </c>
      <c r="P174" s="157" t="str">
        <f aca="false">IF(B174="","",IF(COUNTIF(B174:$B$604,B174)=1,1,""))</f>
        <v/>
      </c>
      <c r="Q174" s="157" t="str">
        <f aca="false">IF(AND(O174="recurring",P174=1),COUNTIFS($O$5:O174,"recurring",$P$5:P174,1),"")</f>
        <v/>
      </c>
    </row>
    <row r="175" customFormat="false" ht="15" hidden="false" customHeight="false" outlineLevel="0" collapsed="false">
      <c r="A175" s="110"/>
      <c r="B175" s="108"/>
      <c r="C175" s="142"/>
      <c r="D175" s="108"/>
      <c r="E175" s="183" t="str">
        <f aca="false" t="array" ref="E175:E175">IF(B175="","",IFERROR(INDEX(Keywords!$B$5:$B$165,MAX(ISNUMBER(SEARCH(Keywords!$A$5:$A$165,B175))*(Keywords!$A$5:$A$165&lt;&gt;"")*ROW(Keywords!$A$5:$A$165))-4),""))</f>
        <v/>
      </c>
      <c r="F175" s="150" t="str">
        <f aca="false">IF(B175="","",IF(L175="Transfer","Transfer",IF(L175="Income","Income",IF(D175&lt;&gt;"",D175,IF(E175&lt;&gt;"",E175,"Uncategorized")))))</f>
        <v/>
      </c>
      <c r="G175" s="108"/>
      <c r="H175" s="184" t="str">
        <f aca="false">IF(A175="","",DATE(YEAR(A175),MONTH(A175),1))</f>
        <v/>
      </c>
      <c r="I175" s="185"/>
      <c r="J175" s="144"/>
      <c r="K175" s="159" t="str">
        <f aca="false">IF(C175="","",N(C175)/IF(N175&lt;&gt;"",N175,IF(J175="",1,IFERROR(INDEX(Setup!$C$23:$C$46,MATCH(J175,Setup!$A$23:$A$46,0)),1))))</f>
        <v/>
      </c>
      <c r="L175" s="144"/>
      <c r="M175" s="108"/>
      <c r="N175" s="111"/>
      <c r="O175" s="156" t="str">
        <f aca="false">IF(OR(B175="",L175="Transfer"),"",IF(COUNTIFS($B$5:$B$604,B175,$H$5:$H$604,EDATE(H175,-1),$C$5:$C$604,"&gt;="&amp;C175*0.85,$C$5:$C$604,"&lt;="&amp;C175*1.15)&gt;0,"recurring",""))</f>
        <v/>
      </c>
      <c r="P175" s="157" t="str">
        <f aca="false">IF(B175="","",IF(COUNTIF(B175:$B$604,B175)=1,1,""))</f>
        <v/>
      </c>
      <c r="Q175" s="157" t="str">
        <f aca="false">IF(AND(O175="recurring",P175=1),COUNTIFS($O$5:O175,"recurring",$P$5:P175,1),"")</f>
        <v/>
      </c>
    </row>
    <row r="176" customFormat="false" ht="15" hidden="false" customHeight="false" outlineLevel="0" collapsed="false">
      <c r="A176" s="110"/>
      <c r="B176" s="108"/>
      <c r="C176" s="142"/>
      <c r="D176" s="108"/>
      <c r="E176" s="183" t="str">
        <f aca="false" t="array" ref="E176:E176">IF(B176="","",IFERROR(INDEX(Keywords!$B$5:$B$165,MAX(ISNUMBER(SEARCH(Keywords!$A$5:$A$165,B176))*(Keywords!$A$5:$A$165&lt;&gt;"")*ROW(Keywords!$A$5:$A$165))-4),""))</f>
        <v/>
      </c>
      <c r="F176" s="150" t="str">
        <f aca="false">IF(B176="","",IF(L176="Transfer","Transfer",IF(L176="Income","Income",IF(D176&lt;&gt;"",D176,IF(E176&lt;&gt;"",E176,"Uncategorized")))))</f>
        <v/>
      </c>
      <c r="G176" s="108"/>
      <c r="H176" s="184" t="str">
        <f aca="false">IF(A176="","",DATE(YEAR(A176),MONTH(A176),1))</f>
        <v/>
      </c>
      <c r="I176" s="185"/>
      <c r="J176" s="144"/>
      <c r="K176" s="159" t="str">
        <f aca="false">IF(C176="","",N(C176)/IF(N176&lt;&gt;"",N176,IF(J176="",1,IFERROR(INDEX(Setup!$C$23:$C$46,MATCH(J176,Setup!$A$23:$A$46,0)),1))))</f>
        <v/>
      </c>
      <c r="L176" s="144"/>
      <c r="M176" s="108"/>
      <c r="N176" s="111"/>
      <c r="O176" s="156" t="str">
        <f aca="false">IF(OR(B176="",L176="Transfer"),"",IF(COUNTIFS($B$5:$B$604,B176,$H$5:$H$604,EDATE(H176,-1),$C$5:$C$604,"&gt;="&amp;C176*0.85,$C$5:$C$604,"&lt;="&amp;C176*1.15)&gt;0,"recurring",""))</f>
        <v/>
      </c>
      <c r="P176" s="157" t="str">
        <f aca="false">IF(B176="","",IF(COUNTIF(B176:$B$604,B176)=1,1,""))</f>
        <v/>
      </c>
      <c r="Q176" s="157" t="str">
        <f aca="false">IF(AND(O176="recurring",P176=1),COUNTIFS($O$5:O176,"recurring",$P$5:P176,1),"")</f>
        <v/>
      </c>
    </row>
    <row r="177" customFormat="false" ht="15" hidden="false" customHeight="false" outlineLevel="0" collapsed="false">
      <c r="A177" s="110"/>
      <c r="B177" s="108"/>
      <c r="C177" s="142"/>
      <c r="D177" s="108"/>
      <c r="E177" s="183" t="str">
        <f aca="false" t="array" ref="E177:E177">IF(B177="","",IFERROR(INDEX(Keywords!$B$5:$B$165,MAX(ISNUMBER(SEARCH(Keywords!$A$5:$A$165,B177))*(Keywords!$A$5:$A$165&lt;&gt;"")*ROW(Keywords!$A$5:$A$165))-4),""))</f>
        <v/>
      </c>
      <c r="F177" s="150" t="str">
        <f aca="false">IF(B177="","",IF(L177="Transfer","Transfer",IF(L177="Income","Income",IF(D177&lt;&gt;"",D177,IF(E177&lt;&gt;"",E177,"Uncategorized")))))</f>
        <v/>
      </c>
      <c r="G177" s="108"/>
      <c r="H177" s="184" t="str">
        <f aca="false">IF(A177="","",DATE(YEAR(A177),MONTH(A177),1))</f>
        <v/>
      </c>
      <c r="I177" s="185"/>
      <c r="J177" s="144"/>
      <c r="K177" s="159" t="str">
        <f aca="false">IF(C177="","",N(C177)/IF(N177&lt;&gt;"",N177,IF(J177="",1,IFERROR(INDEX(Setup!$C$23:$C$46,MATCH(J177,Setup!$A$23:$A$46,0)),1))))</f>
        <v/>
      </c>
      <c r="L177" s="144"/>
      <c r="M177" s="108"/>
      <c r="N177" s="111"/>
      <c r="O177" s="156" t="str">
        <f aca="false">IF(OR(B177="",L177="Transfer"),"",IF(COUNTIFS($B$5:$B$604,B177,$H$5:$H$604,EDATE(H177,-1),$C$5:$C$604,"&gt;="&amp;C177*0.85,$C$5:$C$604,"&lt;="&amp;C177*1.15)&gt;0,"recurring",""))</f>
        <v/>
      </c>
      <c r="P177" s="157" t="str">
        <f aca="false">IF(B177="","",IF(COUNTIF(B177:$B$604,B177)=1,1,""))</f>
        <v/>
      </c>
      <c r="Q177" s="157" t="str">
        <f aca="false">IF(AND(O177="recurring",P177=1),COUNTIFS($O$5:O177,"recurring",$P$5:P177,1),"")</f>
        <v/>
      </c>
    </row>
    <row r="178" customFormat="false" ht="15" hidden="false" customHeight="false" outlineLevel="0" collapsed="false">
      <c r="A178" s="110"/>
      <c r="B178" s="108"/>
      <c r="C178" s="142"/>
      <c r="D178" s="108"/>
      <c r="E178" s="183" t="str">
        <f aca="false" t="array" ref="E178:E178">IF(B178="","",IFERROR(INDEX(Keywords!$B$5:$B$165,MAX(ISNUMBER(SEARCH(Keywords!$A$5:$A$165,B178))*(Keywords!$A$5:$A$165&lt;&gt;"")*ROW(Keywords!$A$5:$A$165))-4),""))</f>
        <v/>
      </c>
      <c r="F178" s="150" t="str">
        <f aca="false">IF(B178="","",IF(L178="Transfer","Transfer",IF(L178="Income","Income",IF(D178&lt;&gt;"",D178,IF(E178&lt;&gt;"",E178,"Uncategorized")))))</f>
        <v/>
      </c>
      <c r="G178" s="108"/>
      <c r="H178" s="184" t="str">
        <f aca="false">IF(A178="","",DATE(YEAR(A178),MONTH(A178),1))</f>
        <v/>
      </c>
      <c r="I178" s="185"/>
      <c r="J178" s="144"/>
      <c r="K178" s="159" t="str">
        <f aca="false">IF(C178="","",N(C178)/IF(N178&lt;&gt;"",N178,IF(J178="",1,IFERROR(INDEX(Setup!$C$23:$C$46,MATCH(J178,Setup!$A$23:$A$46,0)),1))))</f>
        <v/>
      </c>
      <c r="L178" s="144"/>
      <c r="M178" s="108"/>
      <c r="N178" s="111"/>
      <c r="O178" s="156" t="str">
        <f aca="false">IF(OR(B178="",L178="Transfer"),"",IF(COUNTIFS($B$5:$B$604,B178,$H$5:$H$604,EDATE(H178,-1),$C$5:$C$604,"&gt;="&amp;C178*0.85,$C$5:$C$604,"&lt;="&amp;C178*1.15)&gt;0,"recurring",""))</f>
        <v/>
      </c>
      <c r="P178" s="157" t="str">
        <f aca="false">IF(B178="","",IF(COUNTIF(B178:$B$604,B178)=1,1,""))</f>
        <v/>
      </c>
      <c r="Q178" s="157" t="str">
        <f aca="false">IF(AND(O178="recurring",P178=1),COUNTIFS($O$5:O178,"recurring",$P$5:P178,1),"")</f>
        <v/>
      </c>
    </row>
    <row r="179" customFormat="false" ht="15" hidden="false" customHeight="false" outlineLevel="0" collapsed="false">
      <c r="A179" s="110"/>
      <c r="B179" s="108"/>
      <c r="C179" s="142"/>
      <c r="D179" s="108"/>
      <c r="E179" s="183" t="str">
        <f aca="false" t="array" ref="E179:E179">IF(B179="","",IFERROR(INDEX(Keywords!$B$5:$B$165,MAX(ISNUMBER(SEARCH(Keywords!$A$5:$A$165,B179))*(Keywords!$A$5:$A$165&lt;&gt;"")*ROW(Keywords!$A$5:$A$165))-4),""))</f>
        <v/>
      </c>
      <c r="F179" s="150" t="str">
        <f aca="false">IF(B179="","",IF(L179="Transfer","Transfer",IF(L179="Income","Income",IF(D179&lt;&gt;"",D179,IF(E179&lt;&gt;"",E179,"Uncategorized")))))</f>
        <v/>
      </c>
      <c r="G179" s="108"/>
      <c r="H179" s="184" t="str">
        <f aca="false">IF(A179="","",DATE(YEAR(A179),MONTH(A179),1))</f>
        <v/>
      </c>
      <c r="I179" s="185"/>
      <c r="J179" s="144"/>
      <c r="K179" s="159" t="str">
        <f aca="false">IF(C179="","",N(C179)/IF(N179&lt;&gt;"",N179,IF(J179="",1,IFERROR(INDEX(Setup!$C$23:$C$46,MATCH(J179,Setup!$A$23:$A$46,0)),1))))</f>
        <v/>
      </c>
      <c r="L179" s="144"/>
      <c r="M179" s="108"/>
      <c r="N179" s="111"/>
      <c r="O179" s="156" t="str">
        <f aca="false">IF(OR(B179="",L179="Transfer"),"",IF(COUNTIFS($B$5:$B$604,B179,$H$5:$H$604,EDATE(H179,-1),$C$5:$C$604,"&gt;="&amp;C179*0.85,$C$5:$C$604,"&lt;="&amp;C179*1.15)&gt;0,"recurring",""))</f>
        <v/>
      </c>
      <c r="P179" s="157" t="str">
        <f aca="false">IF(B179="","",IF(COUNTIF(B179:$B$604,B179)=1,1,""))</f>
        <v/>
      </c>
      <c r="Q179" s="157" t="str">
        <f aca="false">IF(AND(O179="recurring",P179=1),COUNTIFS($O$5:O179,"recurring",$P$5:P179,1),"")</f>
        <v/>
      </c>
    </row>
    <row r="180" customFormat="false" ht="15" hidden="false" customHeight="false" outlineLevel="0" collapsed="false">
      <c r="A180" s="110"/>
      <c r="B180" s="108"/>
      <c r="C180" s="142"/>
      <c r="D180" s="108"/>
      <c r="E180" s="183" t="str">
        <f aca="false" t="array" ref="E180:E180">IF(B180="","",IFERROR(INDEX(Keywords!$B$5:$B$165,MAX(ISNUMBER(SEARCH(Keywords!$A$5:$A$165,B180))*(Keywords!$A$5:$A$165&lt;&gt;"")*ROW(Keywords!$A$5:$A$165))-4),""))</f>
        <v/>
      </c>
      <c r="F180" s="150" t="str">
        <f aca="false">IF(B180="","",IF(L180="Transfer","Transfer",IF(L180="Income","Income",IF(D180&lt;&gt;"",D180,IF(E180&lt;&gt;"",E180,"Uncategorized")))))</f>
        <v/>
      </c>
      <c r="G180" s="108"/>
      <c r="H180" s="184" t="str">
        <f aca="false">IF(A180="","",DATE(YEAR(A180),MONTH(A180),1))</f>
        <v/>
      </c>
      <c r="I180" s="185"/>
      <c r="J180" s="144"/>
      <c r="K180" s="159" t="str">
        <f aca="false">IF(C180="","",N(C180)/IF(N180&lt;&gt;"",N180,IF(J180="",1,IFERROR(INDEX(Setup!$C$23:$C$46,MATCH(J180,Setup!$A$23:$A$46,0)),1))))</f>
        <v/>
      </c>
      <c r="L180" s="144"/>
      <c r="M180" s="108"/>
      <c r="N180" s="111"/>
      <c r="O180" s="156" t="str">
        <f aca="false">IF(OR(B180="",L180="Transfer"),"",IF(COUNTIFS($B$5:$B$604,B180,$H$5:$H$604,EDATE(H180,-1),$C$5:$C$604,"&gt;="&amp;C180*0.85,$C$5:$C$604,"&lt;="&amp;C180*1.15)&gt;0,"recurring",""))</f>
        <v/>
      </c>
      <c r="P180" s="157" t="str">
        <f aca="false">IF(B180="","",IF(COUNTIF(B180:$B$604,B180)=1,1,""))</f>
        <v/>
      </c>
      <c r="Q180" s="157" t="str">
        <f aca="false">IF(AND(O180="recurring",P180=1),COUNTIFS($O$5:O180,"recurring",$P$5:P180,1),"")</f>
        <v/>
      </c>
    </row>
    <row r="181" customFormat="false" ht="15" hidden="false" customHeight="false" outlineLevel="0" collapsed="false">
      <c r="A181" s="110"/>
      <c r="B181" s="108"/>
      <c r="C181" s="142"/>
      <c r="D181" s="108"/>
      <c r="E181" s="183" t="str">
        <f aca="false" t="array" ref="E181:E181">IF(B181="","",IFERROR(INDEX(Keywords!$B$5:$B$165,MAX(ISNUMBER(SEARCH(Keywords!$A$5:$A$165,B181))*(Keywords!$A$5:$A$165&lt;&gt;"")*ROW(Keywords!$A$5:$A$165))-4),""))</f>
        <v/>
      </c>
      <c r="F181" s="150" t="str">
        <f aca="false">IF(B181="","",IF(L181="Transfer","Transfer",IF(L181="Income","Income",IF(D181&lt;&gt;"",D181,IF(E181&lt;&gt;"",E181,"Uncategorized")))))</f>
        <v/>
      </c>
      <c r="G181" s="108"/>
      <c r="H181" s="184" t="str">
        <f aca="false">IF(A181="","",DATE(YEAR(A181),MONTH(A181),1))</f>
        <v/>
      </c>
      <c r="I181" s="185"/>
      <c r="J181" s="144"/>
      <c r="K181" s="159" t="str">
        <f aca="false">IF(C181="","",N(C181)/IF(N181&lt;&gt;"",N181,IF(J181="",1,IFERROR(INDEX(Setup!$C$23:$C$46,MATCH(J181,Setup!$A$23:$A$46,0)),1))))</f>
        <v/>
      </c>
      <c r="L181" s="144"/>
      <c r="M181" s="108"/>
      <c r="N181" s="111"/>
      <c r="O181" s="156" t="str">
        <f aca="false">IF(OR(B181="",L181="Transfer"),"",IF(COUNTIFS($B$5:$B$604,B181,$H$5:$H$604,EDATE(H181,-1),$C$5:$C$604,"&gt;="&amp;C181*0.85,$C$5:$C$604,"&lt;="&amp;C181*1.15)&gt;0,"recurring",""))</f>
        <v/>
      </c>
      <c r="P181" s="157" t="str">
        <f aca="false">IF(B181="","",IF(COUNTIF(B181:$B$604,B181)=1,1,""))</f>
        <v/>
      </c>
      <c r="Q181" s="157" t="str">
        <f aca="false">IF(AND(O181="recurring",P181=1),COUNTIFS($O$5:O181,"recurring",$P$5:P181,1),"")</f>
        <v/>
      </c>
    </row>
    <row r="182" customFormat="false" ht="15" hidden="false" customHeight="false" outlineLevel="0" collapsed="false">
      <c r="A182" s="110"/>
      <c r="B182" s="108"/>
      <c r="C182" s="142"/>
      <c r="D182" s="108"/>
      <c r="E182" s="183" t="str">
        <f aca="false" t="array" ref="E182:E182">IF(B182="","",IFERROR(INDEX(Keywords!$B$5:$B$165,MAX(ISNUMBER(SEARCH(Keywords!$A$5:$A$165,B182))*(Keywords!$A$5:$A$165&lt;&gt;"")*ROW(Keywords!$A$5:$A$165))-4),""))</f>
        <v/>
      </c>
      <c r="F182" s="150" t="str">
        <f aca="false">IF(B182="","",IF(L182="Transfer","Transfer",IF(L182="Income","Income",IF(D182&lt;&gt;"",D182,IF(E182&lt;&gt;"",E182,"Uncategorized")))))</f>
        <v/>
      </c>
      <c r="G182" s="108"/>
      <c r="H182" s="184" t="str">
        <f aca="false">IF(A182="","",DATE(YEAR(A182),MONTH(A182),1))</f>
        <v/>
      </c>
      <c r="I182" s="185"/>
      <c r="J182" s="144"/>
      <c r="K182" s="159" t="str">
        <f aca="false">IF(C182="","",N(C182)/IF(N182&lt;&gt;"",N182,IF(J182="",1,IFERROR(INDEX(Setup!$C$23:$C$46,MATCH(J182,Setup!$A$23:$A$46,0)),1))))</f>
        <v/>
      </c>
      <c r="L182" s="144"/>
      <c r="M182" s="108"/>
      <c r="N182" s="111"/>
      <c r="O182" s="156" t="str">
        <f aca="false">IF(OR(B182="",L182="Transfer"),"",IF(COUNTIFS($B$5:$B$604,B182,$H$5:$H$604,EDATE(H182,-1),$C$5:$C$604,"&gt;="&amp;C182*0.85,$C$5:$C$604,"&lt;="&amp;C182*1.15)&gt;0,"recurring",""))</f>
        <v/>
      </c>
      <c r="P182" s="157" t="str">
        <f aca="false">IF(B182="","",IF(COUNTIF(B182:$B$604,B182)=1,1,""))</f>
        <v/>
      </c>
      <c r="Q182" s="157" t="str">
        <f aca="false">IF(AND(O182="recurring",P182=1),COUNTIFS($O$5:O182,"recurring",$P$5:P182,1),"")</f>
        <v/>
      </c>
    </row>
    <row r="183" customFormat="false" ht="15" hidden="false" customHeight="false" outlineLevel="0" collapsed="false">
      <c r="A183" s="110"/>
      <c r="B183" s="108"/>
      <c r="C183" s="142"/>
      <c r="D183" s="108"/>
      <c r="E183" s="183" t="str">
        <f aca="false" t="array" ref="E183:E183">IF(B183="","",IFERROR(INDEX(Keywords!$B$5:$B$165,MAX(ISNUMBER(SEARCH(Keywords!$A$5:$A$165,B183))*(Keywords!$A$5:$A$165&lt;&gt;"")*ROW(Keywords!$A$5:$A$165))-4),""))</f>
        <v/>
      </c>
      <c r="F183" s="150" t="str">
        <f aca="false">IF(B183="","",IF(L183="Transfer","Transfer",IF(L183="Income","Income",IF(D183&lt;&gt;"",D183,IF(E183&lt;&gt;"",E183,"Uncategorized")))))</f>
        <v/>
      </c>
      <c r="G183" s="108"/>
      <c r="H183" s="184" t="str">
        <f aca="false">IF(A183="","",DATE(YEAR(A183),MONTH(A183),1))</f>
        <v/>
      </c>
      <c r="I183" s="185"/>
      <c r="J183" s="144"/>
      <c r="K183" s="159" t="str">
        <f aca="false">IF(C183="","",N(C183)/IF(N183&lt;&gt;"",N183,IF(J183="",1,IFERROR(INDEX(Setup!$C$23:$C$46,MATCH(J183,Setup!$A$23:$A$46,0)),1))))</f>
        <v/>
      </c>
      <c r="L183" s="144"/>
      <c r="M183" s="108"/>
      <c r="N183" s="111"/>
      <c r="O183" s="156" t="str">
        <f aca="false">IF(OR(B183="",L183="Transfer"),"",IF(COUNTIFS($B$5:$B$604,B183,$H$5:$H$604,EDATE(H183,-1),$C$5:$C$604,"&gt;="&amp;C183*0.85,$C$5:$C$604,"&lt;="&amp;C183*1.15)&gt;0,"recurring",""))</f>
        <v/>
      </c>
      <c r="P183" s="157" t="str">
        <f aca="false">IF(B183="","",IF(COUNTIF(B183:$B$604,B183)=1,1,""))</f>
        <v/>
      </c>
      <c r="Q183" s="157" t="str">
        <f aca="false">IF(AND(O183="recurring",P183=1),COUNTIFS($O$5:O183,"recurring",$P$5:P183,1),"")</f>
        <v/>
      </c>
    </row>
    <row r="184" customFormat="false" ht="15" hidden="false" customHeight="false" outlineLevel="0" collapsed="false">
      <c r="A184" s="110"/>
      <c r="B184" s="108"/>
      <c r="C184" s="142"/>
      <c r="D184" s="108"/>
      <c r="E184" s="183" t="str">
        <f aca="false" t="array" ref="E184:E184">IF(B184="","",IFERROR(INDEX(Keywords!$B$5:$B$165,MAX(ISNUMBER(SEARCH(Keywords!$A$5:$A$165,B184))*(Keywords!$A$5:$A$165&lt;&gt;"")*ROW(Keywords!$A$5:$A$165))-4),""))</f>
        <v/>
      </c>
      <c r="F184" s="150" t="str">
        <f aca="false">IF(B184="","",IF(L184="Transfer","Transfer",IF(L184="Income","Income",IF(D184&lt;&gt;"",D184,IF(E184&lt;&gt;"",E184,"Uncategorized")))))</f>
        <v/>
      </c>
      <c r="G184" s="108"/>
      <c r="H184" s="184" t="str">
        <f aca="false">IF(A184="","",DATE(YEAR(A184),MONTH(A184),1))</f>
        <v/>
      </c>
      <c r="I184" s="185"/>
      <c r="J184" s="144"/>
      <c r="K184" s="159" t="str">
        <f aca="false">IF(C184="","",N(C184)/IF(N184&lt;&gt;"",N184,IF(J184="",1,IFERROR(INDEX(Setup!$C$23:$C$46,MATCH(J184,Setup!$A$23:$A$46,0)),1))))</f>
        <v/>
      </c>
      <c r="L184" s="144"/>
      <c r="M184" s="108"/>
      <c r="N184" s="111"/>
      <c r="O184" s="156" t="str">
        <f aca="false">IF(OR(B184="",L184="Transfer"),"",IF(COUNTIFS($B$5:$B$604,B184,$H$5:$H$604,EDATE(H184,-1),$C$5:$C$604,"&gt;="&amp;C184*0.85,$C$5:$C$604,"&lt;="&amp;C184*1.15)&gt;0,"recurring",""))</f>
        <v/>
      </c>
      <c r="P184" s="157" t="str">
        <f aca="false">IF(B184="","",IF(COUNTIF(B184:$B$604,B184)=1,1,""))</f>
        <v/>
      </c>
      <c r="Q184" s="157" t="str">
        <f aca="false">IF(AND(O184="recurring",P184=1),COUNTIFS($O$5:O184,"recurring",$P$5:P184,1),"")</f>
        <v/>
      </c>
    </row>
    <row r="185" customFormat="false" ht="15" hidden="false" customHeight="false" outlineLevel="0" collapsed="false">
      <c r="A185" s="110"/>
      <c r="B185" s="108"/>
      <c r="C185" s="142"/>
      <c r="D185" s="108"/>
      <c r="E185" s="183" t="str">
        <f aca="false" t="array" ref="E185:E185">IF(B185="","",IFERROR(INDEX(Keywords!$B$5:$B$165,MAX(ISNUMBER(SEARCH(Keywords!$A$5:$A$165,B185))*(Keywords!$A$5:$A$165&lt;&gt;"")*ROW(Keywords!$A$5:$A$165))-4),""))</f>
        <v/>
      </c>
      <c r="F185" s="150" t="str">
        <f aca="false">IF(B185="","",IF(L185="Transfer","Transfer",IF(L185="Income","Income",IF(D185&lt;&gt;"",D185,IF(E185&lt;&gt;"",E185,"Uncategorized")))))</f>
        <v/>
      </c>
      <c r="G185" s="108"/>
      <c r="H185" s="184" t="str">
        <f aca="false">IF(A185="","",DATE(YEAR(A185),MONTH(A185),1))</f>
        <v/>
      </c>
      <c r="I185" s="185"/>
      <c r="J185" s="144"/>
      <c r="K185" s="159" t="str">
        <f aca="false">IF(C185="","",N(C185)/IF(N185&lt;&gt;"",N185,IF(J185="",1,IFERROR(INDEX(Setup!$C$23:$C$46,MATCH(J185,Setup!$A$23:$A$46,0)),1))))</f>
        <v/>
      </c>
      <c r="L185" s="144"/>
      <c r="M185" s="108"/>
      <c r="N185" s="111"/>
      <c r="O185" s="156" t="str">
        <f aca="false">IF(OR(B185="",L185="Transfer"),"",IF(COUNTIFS($B$5:$B$604,B185,$H$5:$H$604,EDATE(H185,-1),$C$5:$C$604,"&gt;="&amp;C185*0.85,$C$5:$C$604,"&lt;="&amp;C185*1.15)&gt;0,"recurring",""))</f>
        <v/>
      </c>
      <c r="P185" s="157" t="str">
        <f aca="false">IF(B185="","",IF(COUNTIF(B185:$B$604,B185)=1,1,""))</f>
        <v/>
      </c>
      <c r="Q185" s="157" t="str">
        <f aca="false">IF(AND(O185="recurring",P185=1),COUNTIFS($O$5:O185,"recurring",$P$5:P185,1),"")</f>
        <v/>
      </c>
    </row>
    <row r="186" customFormat="false" ht="15" hidden="false" customHeight="false" outlineLevel="0" collapsed="false">
      <c r="A186" s="110"/>
      <c r="B186" s="108"/>
      <c r="C186" s="142"/>
      <c r="D186" s="108"/>
      <c r="E186" s="183" t="str">
        <f aca="false" t="array" ref="E186:E186">IF(B186="","",IFERROR(INDEX(Keywords!$B$5:$B$165,MAX(ISNUMBER(SEARCH(Keywords!$A$5:$A$165,B186))*(Keywords!$A$5:$A$165&lt;&gt;"")*ROW(Keywords!$A$5:$A$165))-4),""))</f>
        <v/>
      </c>
      <c r="F186" s="150" t="str">
        <f aca="false">IF(B186="","",IF(L186="Transfer","Transfer",IF(L186="Income","Income",IF(D186&lt;&gt;"",D186,IF(E186&lt;&gt;"",E186,"Uncategorized")))))</f>
        <v/>
      </c>
      <c r="G186" s="108"/>
      <c r="H186" s="184" t="str">
        <f aca="false">IF(A186="","",DATE(YEAR(A186),MONTH(A186),1))</f>
        <v/>
      </c>
      <c r="I186" s="185"/>
      <c r="J186" s="144"/>
      <c r="K186" s="159" t="str">
        <f aca="false">IF(C186="","",N(C186)/IF(N186&lt;&gt;"",N186,IF(J186="",1,IFERROR(INDEX(Setup!$C$23:$C$46,MATCH(J186,Setup!$A$23:$A$46,0)),1))))</f>
        <v/>
      </c>
      <c r="L186" s="144"/>
      <c r="M186" s="108"/>
      <c r="N186" s="111"/>
      <c r="O186" s="156" t="str">
        <f aca="false">IF(OR(B186="",L186="Transfer"),"",IF(COUNTIFS($B$5:$B$604,B186,$H$5:$H$604,EDATE(H186,-1),$C$5:$C$604,"&gt;="&amp;C186*0.85,$C$5:$C$604,"&lt;="&amp;C186*1.15)&gt;0,"recurring",""))</f>
        <v/>
      </c>
      <c r="P186" s="157" t="str">
        <f aca="false">IF(B186="","",IF(COUNTIF(B186:$B$604,B186)=1,1,""))</f>
        <v/>
      </c>
      <c r="Q186" s="157" t="str">
        <f aca="false">IF(AND(O186="recurring",P186=1),COUNTIFS($O$5:O186,"recurring",$P$5:P186,1),"")</f>
        <v/>
      </c>
    </row>
    <row r="187" customFormat="false" ht="15" hidden="false" customHeight="false" outlineLevel="0" collapsed="false">
      <c r="A187" s="110"/>
      <c r="B187" s="108"/>
      <c r="C187" s="142"/>
      <c r="D187" s="108"/>
      <c r="E187" s="183" t="str">
        <f aca="false" t="array" ref="E187:E187">IF(B187="","",IFERROR(INDEX(Keywords!$B$5:$B$165,MAX(ISNUMBER(SEARCH(Keywords!$A$5:$A$165,B187))*(Keywords!$A$5:$A$165&lt;&gt;"")*ROW(Keywords!$A$5:$A$165))-4),""))</f>
        <v/>
      </c>
      <c r="F187" s="150" t="str">
        <f aca="false">IF(B187="","",IF(L187="Transfer","Transfer",IF(L187="Income","Income",IF(D187&lt;&gt;"",D187,IF(E187&lt;&gt;"",E187,"Uncategorized")))))</f>
        <v/>
      </c>
      <c r="G187" s="108"/>
      <c r="H187" s="184" t="str">
        <f aca="false">IF(A187="","",DATE(YEAR(A187),MONTH(A187),1))</f>
        <v/>
      </c>
      <c r="I187" s="185"/>
      <c r="J187" s="144"/>
      <c r="K187" s="159" t="str">
        <f aca="false">IF(C187="","",N(C187)/IF(N187&lt;&gt;"",N187,IF(J187="",1,IFERROR(INDEX(Setup!$C$23:$C$46,MATCH(J187,Setup!$A$23:$A$46,0)),1))))</f>
        <v/>
      </c>
      <c r="L187" s="144"/>
      <c r="M187" s="108"/>
      <c r="N187" s="111"/>
      <c r="O187" s="156" t="str">
        <f aca="false">IF(OR(B187="",L187="Transfer"),"",IF(COUNTIFS($B$5:$B$604,B187,$H$5:$H$604,EDATE(H187,-1),$C$5:$C$604,"&gt;="&amp;C187*0.85,$C$5:$C$604,"&lt;="&amp;C187*1.15)&gt;0,"recurring",""))</f>
        <v/>
      </c>
      <c r="P187" s="157" t="str">
        <f aca="false">IF(B187="","",IF(COUNTIF(B187:$B$604,B187)=1,1,""))</f>
        <v/>
      </c>
      <c r="Q187" s="157" t="str">
        <f aca="false">IF(AND(O187="recurring",P187=1),COUNTIFS($O$5:O187,"recurring",$P$5:P187,1),"")</f>
        <v/>
      </c>
    </row>
    <row r="188" customFormat="false" ht="15" hidden="false" customHeight="false" outlineLevel="0" collapsed="false">
      <c r="A188" s="110"/>
      <c r="B188" s="108"/>
      <c r="C188" s="142"/>
      <c r="D188" s="108"/>
      <c r="E188" s="183" t="str">
        <f aca="false" t="array" ref="E188:E188">IF(B188="","",IFERROR(INDEX(Keywords!$B$5:$B$165,MAX(ISNUMBER(SEARCH(Keywords!$A$5:$A$165,B188))*(Keywords!$A$5:$A$165&lt;&gt;"")*ROW(Keywords!$A$5:$A$165))-4),""))</f>
        <v/>
      </c>
      <c r="F188" s="150" t="str">
        <f aca="false">IF(B188="","",IF(L188="Transfer","Transfer",IF(L188="Income","Income",IF(D188&lt;&gt;"",D188,IF(E188&lt;&gt;"",E188,"Uncategorized")))))</f>
        <v/>
      </c>
      <c r="G188" s="108"/>
      <c r="H188" s="184" t="str">
        <f aca="false">IF(A188="","",DATE(YEAR(A188),MONTH(A188),1))</f>
        <v/>
      </c>
      <c r="I188" s="185"/>
      <c r="J188" s="144"/>
      <c r="K188" s="159" t="str">
        <f aca="false">IF(C188="","",N(C188)/IF(N188&lt;&gt;"",N188,IF(J188="",1,IFERROR(INDEX(Setup!$C$23:$C$46,MATCH(J188,Setup!$A$23:$A$46,0)),1))))</f>
        <v/>
      </c>
      <c r="L188" s="144"/>
      <c r="M188" s="108"/>
      <c r="N188" s="111"/>
      <c r="O188" s="156" t="str">
        <f aca="false">IF(OR(B188="",L188="Transfer"),"",IF(COUNTIFS($B$5:$B$604,B188,$H$5:$H$604,EDATE(H188,-1),$C$5:$C$604,"&gt;="&amp;C188*0.85,$C$5:$C$604,"&lt;="&amp;C188*1.15)&gt;0,"recurring",""))</f>
        <v/>
      </c>
      <c r="P188" s="157" t="str">
        <f aca="false">IF(B188="","",IF(COUNTIF(B188:$B$604,B188)=1,1,""))</f>
        <v/>
      </c>
      <c r="Q188" s="157" t="str">
        <f aca="false">IF(AND(O188="recurring",P188=1),COUNTIFS($O$5:O188,"recurring",$P$5:P188,1),"")</f>
        <v/>
      </c>
    </row>
    <row r="189" customFormat="false" ht="15" hidden="false" customHeight="false" outlineLevel="0" collapsed="false">
      <c r="A189" s="110"/>
      <c r="B189" s="108"/>
      <c r="C189" s="142"/>
      <c r="D189" s="108"/>
      <c r="E189" s="183" t="str">
        <f aca="false" t="array" ref="E189:E189">IF(B189="","",IFERROR(INDEX(Keywords!$B$5:$B$165,MAX(ISNUMBER(SEARCH(Keywords!$A$5:$A$165,B189))*(Keywords!$A$5:$A$165&lt;&gt;"")*ROW(Keywords!$A$5:$A$165))-4),""))</f>
        <v/>
      </c>
      <c r="F189" s="150" t="str">
        <f aca="false">IF(B189="","",IF(L189="Transfer","Transfer",IF(L189="Income","Income",IF(D189&lt;&gt;"",D189,IF(E189&lt;&gt;"",E189,"Uncategorized")))))</f>
        <v/>
      </c>
      <c r="G189" s="108"/>
      <c r="H189" s="184" t="str">
        <f aca="false">IF(A189="","",DATE(YEAR(A189),MONTH(A189),1))</f>
        <v/>
      </c>
      <c r="I189" s="185"/>
      <c r="J189" s="144"/>
      <c r="K189" s="159" t="str">
        <f aca="false">IF(C189="","",N(C189)/IF(N189&lt;&gt;"",N189,IF(J189="",1,IFERROR(INDEX(Setup!$C$23:$C$46,MATCH(J189,Setup!$A$23:$A$46,0)),1))))</f>
        <v/>
      </c>
      <c r="L189" s="144"/>
      <c r="M189" s="108"/>
      <c r="N189" s="111"/>
      <c r="O189" s="156" t="str">
        <f aca="false">IF(OR(B189="",L189="Transfer"),"",IF(COUNTIFS($B$5:$B$604,B189,$H$5:$H$604,EDATE(H189,-1),$C$5:$C$604,"&gt;="&amp;C189*0.85,$C$5:$C$604,"&lt;="&amp;C189*1.15)&gt;0,"recurring",""))</f>
        <v/>
      </c>
      <c r="P189" s="157" t="str">
        <f aca="false">IF(B189="","",IF(COUNTIF(B189:$B$604,B189)=1,1,""))</f>
        <v/>
      </c>
      <c r="Q189" s="157" t="str">
        <f aca="false">IF(AND(O189="recurring",P189=1),COUNTIFS($O$5:O189,"recurring",$P$5:P189,1),"")</f>
        <v/>
      </c>
    </row>
    <row r="190" customFormat="false" ht="15" hidden="false" customHeight="false" outlineLevel="0" collapsed="false">
      <c r="A190" s="110"/>
      <c r="B190" s="108"/>
      <c r="C190" s="142"/>
      <c r="D190" s="108"/>
      <c r="E190" s="183" t="str">
        <f aca="false" t="array" ref="E190:E190">IF(B190="","",IFERROR(INDEX(Keywords!$B$5:$B$165,MAX(ISNUMBER(SEARCH(Keywords!$A$5:$A$165,B190))*(Keywords!$A$5:$A$165&lt;&gt;"")*ROW(Keywords!$A$5:$A$165))-4),""))</f>
        <v/>
      </c>
      <c r="F190" s="150" t="str">
        <f aca="false">IF(B190="","",IF(L190="Transfer","Transfer",IF(L190="Income","Income",IF(D190&lt;&gt;"",D190,IF(E190&lt;&gt;"",E190,"Uncategorized")))))</f>
        <v/>
      </c>
      <c r="G190" s="108"/>
      <c r="H190" s="184" t="str">
        <f aca="false">IF(A190="","",DATE(YEAR(A190),MONTH(A190),1))</f>
        <v/>
      </c>
      <c r="I190" s="185"/>
      <c r="J190" s="144"/>
      <c r="K190" s="159" t="str">
        <f aca="false">IF(C190="","",N(C190)/IF(N190&lt;&gt;"",N190,IF(J190="",1,IFERROR(INDEX(Setup!$C$23:$C$46,MATCH(J190,Setup!$A$23:$A$46,0)),1))))</f>
        <v/>
      </c>
      <c r="L190" s="144"/>
      <c r="M190" s="108"/>
      <c r="N190" s="111"/>
      <c r="O190" s="156" t="str">
        <f aca="false">IF(OR(B190="",L190="Transfer"),"",IF(COUNTIFS($B$5:$B$604,B190,$H$5:$H$604,EDATE(H190,-1),$C$5:$C$604,"&gt;="&amp;C190*0.85,$C$5:$C$604,"&lt;="&amp;C190*1.15)&gt;0,"recurring",""))</f>
        <v/>
      </c>
      <c r="P190" s="157" t="str">
        <f aca="false">IF(B190="","",IF(COUNTIF(B190:$B$604,B190)=1,1,""))</f>
        <v/>
      </c>
      <c r="Q190" s="157" t="str">
        <f aca="false">IF(AND(O190="recurring",P190=1),COUNTIFS($O$5:O190,"recurring",$P$5:P190,1),"")</f>
        <v/>
      </c>
    </row>
    <row r="191" customFormat="false" ht="15" hidden="false" customHeight="false" outlineLevel="0" collapsed="false">
      <c r="A191" s="110"/>
      <c r="B191" s="108"/>
      <c r="C191" s="142"/>
      <c r="D191" s="108"/>
      <c r="E191" s="183" t="str">
        <f aca="false" t="array" ref="E191:E191">IF(B191="","",IFERROR(INDEX(Keywords!$B$5:$B$165,MAX(ISNUMBER(SEARCH(Keywords!$A$5:$A$165,B191))*(Keywords!$A$5:$A$165&lt;&gt;"")*ROW(Keywords!$A$5:$A$165))-4),""))</f>
        <v/>
      </c>
      <c r="F191" s="150" t="str">
        <f aca="false">IF(B191="","",IF(L191="Transfer","Transfer",IF(L191="Income","Income",IF(D191&lt;&gt;"",D191,IF(E191&lt;&gt;"",E191,"Uncategorized")))))</f>
        <v/>
      </c>
      <c r="G191" s="108"/>
      <c r="H191" s="184" t="str">
        <f aca="false">IF(A191="","",DATE(YEAR(A191),MONTH(A191),1))</f>
        <v/>
      </c>
      <c r="I191" s="185"/>
      <c r="J191" s="144"/>
      <c r="K191" s="159" t="str">
        <f aca="false">IF(C191="","",N(C191)/IF(N191&lt;&gt;"",N191,IF(J191="",1,IFERROR(INDEX(Setup!$C$23:$C$46,MATCH(J191,Setup!$A$23:$A$46,0)),1))))</f>
        <v/>
      </c>
      <c r="L191" s="144"/>
      <c r="M191" s="108"/>
      <c r="N191" s="111"/>
      <c r="O191" s="156" t="str">
        <f aca="false">IF(OR(B191="",L191="Transfer"),"",IF(COUNTIFS($B$5:$B$604,B191,$H$5:$H$604,EDATE(H191,-1),$C$5:$C$604,"&gt;="&amp;C191*0.85,$C$5:$C$604,"&lt;="&amp;C191*1.15)&gt;0,"recurring",""))</f>
        <v/>
      </c>
      <c r="P191" s="157" t="str">
        <f aca="false">IF(B191="","",IF(COUNTIF(B191:$B$604,B191)=1,1,""))</f>
        <v/>
      </c>
      <c r="Q191" s="157" t="str">
        <f aca="false">IF(AND(O191="recurring",P191=1),COUNTIFS($O$5:O191,"recurring",$P$5:P191,1),"")</f>
        <v/>
      </c>
    </row>
    <row r="192" customFormat="false" ht="15" hidden="false" customHeight="false" outlineLevel="0" collapsed="false">
      <c r="A192" s="110"/>
      <c r="B192" s="108"/>
      <c r="C192" s="142"/>
      <c r="D192" s="108"/>
      <c r="E192" s="183" t="str">
        <f aca="false" t="array" ref="E192:E192">IF(B192="","",IFERROR(INDEX(Keywords!$B$5:$B$165,MAX(ISNUMBER(SEARCH(Keywords!$A$5:$A$165,B192))*(Keywords!$A$5:$A$165&lt;&gt;"")*ROW(Keywords!$A$5:$A$165))-4),""))</f>
        <v/>
      </c>
      <c r="F192" s="150" t="str">
        <f aca="false">IF(B192="","",IF(L192="Transfer","Transfer",IF(L192="Income","Income",IF(D192&lt;&gt;"",D192,IF(E192&lt;&gt;"",E192,"Uncategorized")))))</f>
        <v/>
      </c>
      <c r="G192" s="108"/>
      <c r="H192" s="184" t="str">
        <f aca="false">IF(A192="","",DATE(YEAR(A192),MONTH(A192),1))</f>
        <v/>
      </c>
      <c r="I192" s="185"/>
      <c r="J192" s="144"/>
      <c r="K192" s="159" t="str">
        <f aca="false">IF(C192="","",N(C192)/IF(N192&lt;&gt;"",N192,IF(J192="",1,IFERROR(INDEX(Setup!$C$23:$C$46,MATCH(J192,Setup!$A$23:$A$46,0)),1))))</f>
        <v/>
      </c>
      <c r="L192" s="144"/>
      <c r="M192" s="108"/>
      <c r="N192" s="111"/>
      <c r="O192" s="156" t="str">
        <f aca="false">IF(OR(B192="",L192="Transfer"),"",IF(COUNTIFS($B$5:$B$604,B192,$H$5:$H$604,EDATE(H192,-1),$C$5:$C$604,"&gt;="&amp;C192*0.85,$C$5:$C$604,"&lt;="&amp;C192*1.15)&gt;0,"recurring",""))</f>
        <v/>
      </c>
      <c r="P192" s="157" t="str">
        <f aca="false">IF(B192="","",IF(COUNTIF(B192:$B$604,B192)=1,1,""))</f>
        <v/>
      </c>
      <c r="Q192" s="157" t="str">
        <f aca="false">IF(AND(O192="recurring",P192=1),COUNTIFS($O$5:O192,"recurring",$P$5:P192,1),"")</f>
        <v/>
      </c>
    </row>
    <row r="193" customFormat="false" ht="15" hidden="false" customHeight="false" outlineLevel="0" collapsed="false">
      <c r="A193" s="110"/>
      <c r="B193" s="108"/>
      <c r="C193" s="142"/>
      <c r="D193" s="108"/>
      <c r="E193" s="183" t="str">
        <f aca="false" t="array" ref="E193:E193">IF(B193="","",IFERROR(INDEX(Keywords!$B$5:$B$165,MAX(ISNUMBER(SEARCH(Keywords!$A$5:$A$165,B193))*(Keywords!$A$5:$A$165&lt;&gt;"")*ROW(Keywords!$A$5:$A$165))-4),""))</f>
        <v/>
      </c>
      <c r="F193" s="150" t="str">
        <f aca="false">IF(B193="","",IF(L193="Transfer","Transfer",IF(L193="Income","Income",IF(D193&lt;&gt;"",D193,IF(E193&lt;&gt;"",E193,"Uncategorized")))))</f>
        <v/>
      </c>
      <c r="G193" s="108"/>
      <c r="H193" s="184" t="str">
        <f aca="false">IF(A193="","",DATE(YEAR(A193),MONTH(A193),1))</f>
        <v/>
      </c>
      <c r="I193" s="185"/>
      <c r="J193" s="144"/>
      <c r="K193" s="159" t="str">
        <f aca="false">IF(C193="","",N(C193)/IF(N193&lt;&gt;"",N193,IF(J193="",1,IFERROR(INDEX(Setup!$C$23:$C$46,MATCH(J193,Setup!$A$23:$A$46,0)),1))))</f>
        <v/>
      </c>
      <c r="L193" s="144"/>
      <c r="M193" s="108"/>
      <c r="N193" s="111"/>
      <c r="O193" s="156" t="str">
        <f aca="false">IF(OR(B193="",L193="Transfer"),"",IF(COUNTIFS($B$5:$B$604,B193,$H$5:$H$604,EDATE(H193,-1),$C$5:$C$604,"&gt;="&amp;C193*0.85,$C$5:$C$604,"&lt;="&amp;C193*1.15)&gt;0,"recurring",""))</f>
        <v/>
      </c>
      <c r="P193" s="157" t="str">
        <f aca="false">IF(B193="","",IF(COUNTIF(B193:$B$604,B193)=1,1,""))</f>
        <v/>
      </c>
      <c r="Q193" s="157" t="str">
        <f aca="false">IF(AND(O193="recurring",P193=1),COUNTIFS($O$5:O193,"recurring",$P$5:P193,1),"")</f>
        <v/>
      </c>
    </row>
    <row r="194" customFormat="false" ht="15" hidden="false" customHeight="false" outlineLevel="0" collapsed="false">
      <c r="A194" s="110"/>
      <c r="B194" s="108"/>
      <c r="C194" s="142"/>
      <c r="D194" s="108"/>
      <c r="E194" s="183" t="str">
        <f aca="false" t="array" ref="E194:E194">IF(B194="","",IFERROR(INDEX(Keywords!$B$5:$B$165,MAX(ISNUMBER(SEARCH(Keywords!$A$5:$A$165,B194))*(Keywords!$A$5:$A$165&lt;&gt;"")*ROW(Keywords!$A$5:$A$165))-4),""))</f>
        <v/>
      </c>
      <c r="F194" s="150" t="str">
        <f aca="false">IF(B194="","",IF(L194="Transfer","Transfer",IF(L194="Income","Income",IF(D194&lt;&gt;"",D194,IF(E194&lt;&gt;"",E194,"Uncategorized")))))</f>
        <v/>
      </c>
      <c r="G194" s="108"/>
      <c r="H194" s="184" t="str">
        <f aca="false">IF(A194="","",DATE(YEAR(A194),MONTH(A194),1))</f>
        <v/>
      </c>
      <c r="I194" s="185"/>
      <c r="J194" s="144"/>
      <c r="K194" s="159" t="str">
        <f aca="false">IF(C194="","",N(C194)/IF(N194&lt;&gt;"",N194,IF(J194="",1,IFERROR(INDEX(Setup!$C$23:$C$46,MATCH(J194,Setup!$A$23:$A$46,0)),1))))</f>
        <v/>
      </c>
      <c r="L194" s="144"/>
      <c r="M194" s="108"/>
      <c r="N194" s="111"/>
      <c r="O194" s="156" t="str">
        <f aca="false">IF(OR(B194="",L194="Transfer"),"",IF(COUNTIFS($B$5:$B$604,B194,$H$5:$H$604,EDATE(H194,-1),$C$5:$C$604,"&gt;="&amp;C194*0.85,$C$5:$C$604,"&lt;="&amp;C194*1.15)&gt;0,"recurring",""))</f>
        <v/>
      </c>
      <c r="P194" s="157" t="str">
        <f aca="false">IF(B194="","",IF(COUNTIF(B194:$B$604,B194)=1,1,""))</f>
        <v/>
      </c>
      <c r="Q194" s="157" t="str">
        <f aca="false">IF(AND(O194="recurring",P194=1),COUNTIFS($O$5:O194,"recurring",$P$5:P194,1),"")</f>
        <v/>
      </c>
    </row>
    <row r="195" customFormat="false" ht="15" hidden="false" customHeight="false" outlineLevel="0" collapsed="false">
      <c r="A195" s="110"/>
      <c r="B195" s="108"/>
      <c r="C195" s="142"/>
      <c r="D195" s="108"/>
      <c r="E195" s="183" t="str">
        <f aca="false" t="array" ref="E195:E195">IF(B195="","",IFERROR(INDEX(Keywords!$B$5:$B$165,MAX(ISNUMBER(SEARCH(Keywords!$A$5:$A$165,B195))*(Keywords!$A$5:$A$165&lt;&gt;"")*ROW(Keywords!$A$5:$A$165))-4),""))</f>
        <v/>
      </c>
      <c r="F195" s="150" t="str">
        <f aca="false">IF(B195="","",IF(L195="Transfer","Transfer",IF(L195="Income","Income",IF(D195&lt;&gt;"",D195,IF(E195&lt;&gt;"",E195,"Uncategorized")))))</f>
        <v/>
      </c>
      <c r="G195" s="108"/>
      <c r="H195" s="184" t="str">
        <f aca="false">IF(A195="","",DATE(YEAR(A195),MONTH(A195),1))</f>
        <v/>
      </c>
      <c r="I195" s="185"/>
      <c r="J195" s="144"/>
      <c r="K195" s="159" t="str">
        <f aca="false">IF(C195="","",N(C195)/IF(N195&lt;&gt;"",N195,IF(J195="",1,IFERROR(INDEX(Setup!$C$23:$C$46,MATCH(J195,Setup!$A$23:$A$46,0)),1))))</f>
        <v/>
      </c>
      <c r="L195" s="144"/>
      <c r="M195" s="108"/>
      <c r="N195" s="111"/>
      <c r="O195" s="156" t="str">
        <f aca="false">IF(OR(B195="",L195="Transfer"),"",IF(COUNTIFS($B$5:$B$604,B195,$H$5:$H$604,EDATE(H195,-1),$C$5:$C$604,"&gt;="&amp;C195*0.85,$C$5:$C$604,"&lt;="&amp;C195*1.15)&gt;0,"recurring",""))</f>
        <v/>
      </c>
      <c r="P195" s="157" t="str">
        <f aca="false">IF(B195="","",IF(COUNTIF(B195:$B$604,B195)=1,1,""))</f>
        <v/>
      </c>
      <c r="Q195" s="157" t="str">
        <f aca="false">IF(AND(O195="recurring",P195=1),COUNTIFS($O$5:O195,"recurring",$P$5:P195,1),"")</f>
        <v/>
      </c>
    </row>
    <row r="196" customFormat="false" ht="15" hidden="false" customHeight="false" outlineLevel="0" collapsed="false">
      <c r="A196" s="110"/>
      <c r="B196" s="108"/>
      <c r="C196" s="142"/>
      <c r="D196" s="108"/>
      <c r="E196" s="183" t="str">
        <f aca="false" t="array" ref="E196:E196">IF(B196="","",IFERROR(INDEX(Keywords!$B$5:$B$165,MAX(ISNUMBER(SEARCH(Keywords!$A$5:$A$165,B196))*(Keywords!$A$5:$A$165&lt;&gt;"")*ROW(Keywords!$A$5:$A$165))-4),""))</f>
        <v/>
      </c>
      <c r="F196" s="150" t="str">
        <f aca="false">IF(B196="","",IF(L196="Transfer","Transfer",IF(L196="Income","Income",IF(D196&lt;&gt;"",D196,IF(E196&lt;&gt;"",E196,"Uncategorized")))))</f>
        <v/>
      </c>
      <c r="G196" s="108"/>
      <c r="H196" s="184" t="str">
        <f aca="false">IF(A196="","",DATE(YEAR(A196),MONTH(A196),1))</f>
        <v/>
      </c>
      <c r="I196" s="185"/>
      <c r="J196" s="144"/>
      <c r="K196" s="159" t="str">
        <f aca="false">IF(C196="","",N(C196)/IF(N196&lt;&gt;"",N196,IF(J196="",1,IFERROR(INDEX(Setup!$C$23:$C$46,MATCH(J196,Setup!$A$23:$A$46,0)),1))))</f>
        <v/>
      </c>
      <c r="L196" s="144"/>
      <c r="M196" s="108"/>
      <c r="N196" s="111"/>
      <c r="O196" s="156" t="str">
        <f aca="false">IF(OR(B196="",L196="Transfer"),"",IF(COUNTIFS($B$5:$B$604,B196,$H$5:$H$604,EDATE(H196,-1),$C$5:$C$604,"&gt;="&amp;C196*0.85,$C$5:$C$604,"&lt;="&amp;C196*1.15)&gt;0,"recurring",""))</f>
        <v/>
      </c>
      <c r="P196" s="157" t="str">
        <f aca="false">IF(B196="","",IF(COUNTIF(B196:$B$604,B196)=1,1,""))</f>
        <v/>
      </c>
      <c r="Q196" s="157" t="str">
        <f aca="false">IF(AND(O196="recurring",P196=1),COUNTIFS($O$5:O196,"recurring",$P$5:P196,1),"")</f>
        <v/>
      </c>
    </row>
    <row r="197" customFormat="false" ht="15" hidden="false" customHeight="false" outlineLevel="0" collapsed="false">
      <c r="A197" s="110"/>
      <c r="B197" s="108"/>
      <c r="C197" s="142"/>
      <c r="D197" s="108"/>
      <c r="E197" s="183" t="str">
        <f aca="false" t="array" ref="E197:E197">IF(B197="","",IFERROR(INDEX(Keywords!$B$5:$B$165,MAX(ISNUMBER(SEARCH(Keywords!$A$5:$A$165,B197))*(Keywords!$A$5:$A$165&lt;&gt;"")*ROW(Keywords!$A$5:$A$165))-4),""))</f>
        <v/>
      </c>
      <c r="F197" s="150" t="str">
        <f aca="false">IF(B197="","",IF(L197="Transfer","Transfer",IF(L197="Income","Income",IF(D197&lt;&gt;"",D197,IF(E197&lt;&gt;"",E197,"Uncategorized")))))</f>
        <v/>
      </c>
      <c r="G197" s="108"/>
      <c r="H197" s="184" t="str">
        <f aca="false">IF(A197="","",DATE(YEAR(A197),MONTH(A197),1))</f>
        <v/>
      </c>
      <c r="I197" s="185"/>
      <c r="J197" s="144"/>
      <c r="K197" s="159" t="str">
        <f aca="false">IF(C197="","",N(C197)/IF(N197&lt;&gt;"",N197,IF(J197="",1,IFERROR(INDEX(Setup!$C$23:$C$46,MATCH(J197,Setup!$A$23:$A$46,0)),1))))</f>
        <v/>
      </c>
      <c r="L197" s="144"/>
      <c r="M197" s="108"/>
      <c r="N197" s="111"/>
      <c r="O197" s="156" t="str">
        <f aca="false">IF(OR(B197="",L197="Transfer"),"",IF(COUNTIFS($B$5:$B$604,B197,$H$5:$H$604,EDATE(H197,-1),$C$5:$C$604,"&gt;="&amp;C197*0.85,$C$5:$C$604,"&lt;="&amp;C197*1.15)&gt;0,"recurring",""))</f>
        <v/>
      </c>
      <c r="P197" s="157" t="str">
        <f aca="false">IF(B197="","",IF(COUNTIF(B197:$B$604,B197)=1,1,""))</f>
        <v/>
      </c>
      <c r="Q197" s="157" t="str">
        <f aca="false">IF(AND(O197="recurring",P197=1),COUNTIFS($O$5:O197,"recurring",$P$5:P197,1),"")</f>
        <v/>
      </c>
    </row>
    <row r="198" customFormat="false" ht="15" hidden="false" customHeight="false" outlineLevel="0" collapsed="false">
      <c r="A198" s="110"/>
      <c r="B198" s="108"/>
      <c r="C198" s="142"/>
      <c r="D198" s="108"/>
      <c r="E198" s="183" t="str">
        <f aca="false" t="array" ref="E198:E198">IF(B198="","",IFERROR(INDEX(Keywords!$B$5:$B$165,MAX(ISNUMBER(SEARCH(Keywords!$A$5:$A$165,B198))*(Keywords!$A$5:$A$165&lt;&gt;"")*ROW(Keywords!$A$5:$A$165))-4),""))</f>
        <v/>
      </c>
      <c r="F198" s="150" t="str">
        <f aca="false">IF(B198="","",IF(L198="Transfer","Transfer",IF(L198="Income","Income",IF(D198&lt;&gt;"",D198,IF(E198&lt;&gt;"",E198,"Uncategorized")))))</f>
        <v/>
      </c>
      <c r="G198" s="108"/>
      <c r="H198" s="184" t="str">
        <f aca="false">IF(A198="","",DATE(YEAR(A198),MONTH(A198),1))</f>
        <v/>
      </c>
      <c r="I198" s="185"/>
      <c r="J198" s="144"/>
      <c r="K198" s="159" t="str">
        <f aca="false">IF(C198="","",N(C198)/IF(N198&lt;&gt;"",N198,IF(J198="",1,IFERROR(INDEX(Setup!$C$23:$C$46,MATCH(J198,Setup!$A$23:$A$46,0)),1))))</f>
        <v/>
      </c>
      <c r="L198" s="144"/>
      <c r="M198" s="108"/>
      <c r="N198" s="111"/>
      <c r="O198" s="156" t="str">
        <f aca="false">IF(OR(B198="",L198="Transfer"),"",IF(COUNTIFS($B$5:$B$604,B198,$H$5:$H$604,EDATE(H198,-1),$C$5:$C$604,"&gt;="&amp;C198*0.85,$C$5:$C$604,"&lt;="&amp;C198*1.15)&gt;0,"recurring",""))</f>
        <v/>
      </c>
      <c r="P198" s="157" t="str">
        <f aca="false">IF(B198="","",IF(COUNTIF(B198:$B$604,B198)=1,1,""))</f>
        <v/>
      </c>
      <c r="Q198" s="157" t="str">
        <f aca="false">IF(AND(O198="recurring",P198=1),COUNTIFS($O$5:O198,"recurring",$P$5:P198,1),"")</f>
        <v/>
      </c>
    </row>
    <row r="199" customFormat="false" ht="15" hidden="false" customHeight="false" outlineLevel="0" collapsed="false">
      <c r="A199" s="110"/>
      <c r="B199" s="108"/>
      <c r="C199" s="142"/>
      <c r="D199" s="108"/>
      <c r="E199" s="183" t="str">
        <f aca="false" t="array" ref="E199:E199">IF(B199="","",IFERROR(INDEX(Keywords!$B$5:$B$165,MAX(ISNUMBER(SEARCH(Keywords!$A$5:$A$165,B199))*(Keywords!$A$5:$A$165&lt;&gt;"")*ROW(Keywords!$A$5:$A$165))-4),""))</f>
        <v/>
      </c>
      <c r="F199" s="150" t="str">
        <f aca="false">IF(B199="","",IF(L199="Transfer","Transfer",IF(L199="Income","Income",IF(D199&lt;&gt;"",D199,IF(E199&lt;&gt;"",E199,"Uncategorized")))))</f>
        <v/>
      </c>
      <c r="G199" s="108"/>
      <c r="H199" s="184" t="str">
        <f aca="false">IF(A199="","",DATE(YEAR(A199),MONTH(A199),1))</f>
        <v/>
      </c>
      <c r="I199" s="185"/>
      <c r="J199" s="144"/>
      <c r="K199" s="159" t="str">
        <f aca="false">IF(C199="","",N(C199)/IF(N199&lt;&gt;"",N199,IF(J199="",1,IFERROR(INDEX(Setup!$C$23:$C$46,MATCH(J199,Setup!$A$23:$A$46,0)),1))))</f>
        <v/>
      </c>
      <c r="L199" s="144"/>
      <c r="M199" s="108"/>
      <c r="N199" s="111"/>
      <c r="O199" s="156" t="str">
        <f aca="false">IF(OR(B199="",L199="Transfer"),"",IF(COUNTIFS($B$5:$B$604,B199,$H$5:$H$604,EDATE(H199,-1),$C$5:$C$604,"&gt;="&amp;C199*0.85,$C$5:$C$604,"&lt;="&amp;C199*1.15)&gt;0,"recurring",""))</f>
        <v/>
      </c>
      <c r="P199" s="157" t="str">
        <f aca="false">IF(B199="","",IF(COUNTIF(B199:$B$604,B199)=1,1,""))</f>
        <v/>
      </c>
      <c r="Q199" s="157" t="str">
        <f aca="false">IF(AND(O199="recurring",P199=1),COUNTIFS($O$5:O199,"recurring",$P$5:P199,1),"")</f>
        <v/>
      </c>
    </row>
    <row r="200" customFormat="false" ht="15" hidden="false" customHeight="false" outlineLevel="0" collapsed="false">
      <c r="A200" s="110"/>
      <c r="B200" s="108"/>
      <c r="C200" s="142"/>
      <c r="D200" s="108"/>
      <c r="E200" s="183" t="str">
        <f aca="false" t="array" ref="E200:E200">IF(B200="","",IFERROR(INDEX(Keywords!$B$5:$B$165,MAX(ISNUMBER(SEARCH(Keywords!$A$5:$A$165,B200))*(Keywords!$A$5:$A$165&lt;&gt;"")*ROW(Keywords!$A$5:$A$165))-4),""))</f>
        <v/>
      </c>
      <c r="F200" s="150" t="str">
        <f aca="false">IF(B200="","",IF(L200="Transfer","Transfer",IF(L200="Income","Income",IF(D200&lt;&gt;"",D200,IF(E200&lt;&gt;"",E200,"Uncategorized")))))</f>
        <v/>
      </c>
      <c r="G200" s="108"/>
      <c r="H200" s="184" t="str">
        <f aca="false">IF(A200="","",DATE(YEAR(A200),MONTH(A200),1))</f>
        <v/>
      </c>
      <c r="I200" s="185"/>
      <c r="J200" s="144"/>
      <c r="K200" s="159" t="str">
        <f aca="false">IF(C200="","",N(C200)/IF(N200&lt;&gt;"",N200,IF(J200="",1,IFERROR(INDEX(Setup!$C$23:$C$46,MATCH(J200,Setup!$A$23:$A$46,0)),1))))</f>
        <v/>
      </c>
      <c r="L200" s="144"/>
      <c r="M200" s="108"/>
      <c r="N200" s="111"/>
      <c r="O200" s="156" t="str">
        <f aca="false">IF(OR(B200="",L200="Transfer"),"",IF(COUNTIFS($B$5:$B$604,B200,$H$5:$H$604,EDATE(H200,-1),$C$5:$C$604,"&gt;="&amp;C200*0.85,$C$5:$C$604,"&lt;="&amp;C200*1.15)&gt;0,"recurring",""))</f>
        <v/>
      </c>
      <c r="P200" s="157" t="str">
        <f aca="false">IF(B200="","",IF(COUNTIF(B200:$B$604,B200)=1,1,""))</f>
        <v/>
      </c>
      <c r="Q200" s="157" t="str">
        <f aca="false">IF(AND(O200="recurring",P200=1),COUNTIFS($O$5:O200,"recurring",$P$5:P200,1),"")</f>
        <v/>
      </c>
    </row>
    <row r="201" customFormat="false" ht="15" hidden="false" customHeight="false" outlineLevel="0" collapsed="false">
      <c r="A201" s="110"/>
      <c r="B201" s="108"/>
      <c r="C201" s="142"/>
      <c r="D201" s="108"/>
      <c r="E201" s="183" t="str">
        <f aca="false" t="array" ref="E201:E201">IF(B201="","",IFERROR(INDEX(Keywords!$B$5:$B$165,MAX(ISNUMBER(SEARCH(Keywords!$A$5:$A$165,B201))*(Keywords!$A$5:$A$165&lt;&gt;"")*ROW(Keywords!$A$5:$A$165))-4),""))</f>
        <v/>
      </c>
      <c r="F201" s="150" t="str">
        <f aca="false">IF(B201="","",IF(L201="Transfer","Transfer",IF(L201="Income","Income",IF(D201&lt;&gt;"",D201,IF(E201&lt;&gt;"",E201,"Uncategorized")))))</f>
        <v/>
      </c>
      <c r="G201" s="108"/>
      <c r="H201" s="184" t="str">
        <f aca="false">IF(A201="","",DATE(YEAR(A201),MONTH(A201),1))</f>
        <v/>
      </c>
      <c r="I201" s="185"/>
      <c r="J201" s="144"/>
      <c r="K201" s="159" t="str">
        <f aca="false">IF(C201="","",N(C201)/IF(N201&lt;&gt;"",N201,IF(J201="",1,IFERROR(INDEX(Setup!$C$23:$C$46,MATCH(J201,Setup!$A$23:$A$46,0)),1))))</f>
        <v/>
      </c>
      <c r="L201" s="144"/>
      <c r="M201" s="108"/>
      <c r="N201" s="111"/>
      <c r="O201" s="156" t="str">
        <f aca="false">IF(OR(B201="",L201="Transfer"),"",IF(COUNTIFS($B$5:$B$604,B201,$H$5:$H$604,EDATE(H201,-1),$C$5:$C$604,"&gt;="&amp;C201*0.85,$C$5:$C$604,"&lt;="&amp;C201*1.15)&gt;0,"recurring",""))</f>
        <v/>
      </c>
      <c r="P201" s="157" t="str">
        <f aca="false">IF(B201="","",IF(COUNTIF(B201:$B$604,B201)=1,1,""))</f>
        <v/>
      </c>
      <c r="Q201" s="157" t="str">
        <f aca="false">IF(AND(O201="recurring",P201=1),COUNTIFS($O$5:O201,"recurring",$P$5:P201,1),"")</f>
        <v/>
      </c>
    </row>
    <row r="202" customFormat="false" ht="15" hidden="false" customHeight="false" outlineLevel="0" collapsed="false">
      <c r="A202" s="110"/>
      <c r="B202" s="108"/>
      <c r="C202" s="142"/>
      <c r="D202" s="108"/>
      <c r="E202" s="183" t="str">
        <f aca="false" t="array" ref="E202:E202">IF(B202="","",IFERROR(INDEX(Keywords!$B$5:$B$165,MAX(ISNUMBER(SEARCH(Keywords!$A$5:$A$165,B202))*(Keywords!$A$5:$A$165&lt;&gt;"")*ROW(Keywords!$A$5:$A$165))-4),""))</f>
        <v/>
      </c>
      <c r="F202" s="150" t="str">
        <f aca="false">IF(B202="","",IF(L202="Transfer","Transfer",IF(L202="Income","Income",IF(D202&lt;&gt;"",D202,IF(E202&lt;&gt;"",E202,"Uncategorized")))))</f>
        <v/>
      </c>
      <c r="G202" s="108"/>
      <c r="H202" s="184" t="str">
        <f aca="false">IF(A202="","",DATE(YEAR(A202),MONTH(A202),1))</f>
        <v/>
      </c>
      <c r="I202" s="185"/>
      <c r="J202" s="144"/>
      <c r="K202" s="159" t="str">
        <f aca="false">IF(C202="","",N(C202)/IF(N202&lt;&gt;"",N202,IF(J202="",1,IFERROR(INDEX(Setup!$C$23:$C$46,MATCH(J202,Setup!$A$23:$A$46,0)),1))))</f>
        <v/>
      </c>
      <c r="L202" s="144"/>
      <c r="M202" s="108"/>
      <c r="N202" s="111"/>
      <c r="O202" s="156" t="str">
        <f aca="false">IF(OR(B202="",L202="Transfer"),"",IF(COUNTIFS($B$5:$B$604,B202,$H$5:$H$604,EDATE(H202,-1),$C$5:$C$604,"&gt;="&amp;C202*0.85,$C$5:$C$604,"&lt;="&amp;C202*1.15)&gt;0,"recurring",""))</f>
        <v/>
      </c>
      <c r="P202" s="157" t="str">
        <f aca="false">IF(B202="","",IF(COUNTIF(B202:$B$604,B202)=1,1,""))</f>
        <v/>
      </c>
      <c r="Q202" s="157" t="str">
        <f aca="false">IF(AND(O202="recurring",P202=1),COUNTIFS($O$5:O202,"recurring",$P$5:P202,1),"")</f>
        <v/>
      </c>
    </row>
    <row r="203" customFormat="false" ht="15" hidden="false" customHeight="false" outlineLevel="0" collapsed="false">
      <c r="A203" s="110"/>
      <c r="B203" s="108"/>
      <c r="C203" s="142"/>
      <c r="D203" s="108"/>
      <c r="E203" s="183" t="str">
        <f aca="false" t="array" ref="E203:E203">IF(B203="","",IFERROR(INDEX(Keywords!$B$5:$B$165,MAX(ISNUMBER(SEARCH(Keywords!$A$5:$A$165,B203))*(Keywords!$A$5:$A$165&lt;&gt;"")*ROW(Keywords!$A$5:$A$165))-4),""))</f>
        <v/>
      </c>
      <c r="F203" s="150" t="str">
        <f aca="false">IF(B203="","",IF(L203="Transfer","Transfer",IF(L203="Income","Income",IF(D203&lt;&gt;"",D203,IF(E203&lt;&gt;"",E203,"Uncategorized")))))</f>
        <v/>
      </c>
      <c r="G203" s="108"/>
      <c r="H203" s="184" t="str">
        <f aca="false">IF(A203="","",DATE(YEAR(A203),MONTH(A203),1))</f>
        <v/>
      </c>
      <c r="I203" s="185"/>
      <c r="J203" s="144"/>
      <c r="K203" s="159" t="str">
        <f aca="false">IF(C203="","",N(C203)/IF(N203&lt;&gt;"",N203,IF(J203="",1,IFERROR(INDEX(Setup!$C$23:$C$46,MATCH(J203,Setup!$A$23:$A$46,0)),1))))</f>
        <v/>
      </c>
      <c r="L203" s="144"/>
      <c r="M203" s="108"/>
      <c r="N203" s="111"/>
      <c r="O203" s="156" t="str">
        <f aca="false">IF(OR(B203="",L203="Transfer"),"",IF(COUNTIFS($B$5:$B$604,B203,$H$5:$H$604,EDATE(H203,-1),$C$5:$C$604,"&gt;="&amp;C203*0.85,$C$5:$C$604,"&lt;="&amp;C203*1.15)&gt;0,"recurring",""))</f>
        <v/>
      </c>
      <c r="P203" s="157" t="str">
        <f aca="false">IF(B203="","",IF(COUNTIF(B203:$B$604,B203)=1,1,""))</f>
        <v/>
      </c>
      <c r="Q203" s="157" t="str">
        <f aca="false">IF(AND(O203="recurring",P203=1),COUNTIFS($O$5:O203,"recurring",$P$5:P203,1),"")</f>
        <v/>
      </c>
    </row>
    <row r="204" customFormat="false" ht="15" hidden="false" customHeight="false" outlineLevel="0" collapsed="false">
      <c r="A204" s="110"/>
      <c r="B204" s="108"/>
      <c r="C204" s="142"/>
      <c r="D204" s="108"/>
      <c r="E204" s="183" t="str">
        <f aca="false" t="array" ref="E204:E204">IF(B204="","",IFERROR(INDEX(Keywords!$B$5:$B$165,MAX(ISNUMBER(SEARCH(Keywords!$A$5:$A$165,B204))*(Keywords!$A$5:$A$165&lt;&gt;"")*ROW(Keywords!$A$5:$A$165))-4),""))</f>
        <v/>
      </c>
      <c r="F204" s="150" t="str">
        <f aca="false">IF(B204="","",IF(L204="Transfer","Transfer",IF(L204="Income","Income",IF(D204&lt;&gt;"",D204,IF(E204&lt;&gt;"",E204,"Uncategorized")))))</f>
        <v/>
      </c>
      <c r="G204" s="108"/>
      <c r="H204" s="184" t="str">
        <f aca="false">IF(A204="","",DATE(YEAR(A204),MONTH(A204),1))</f>
        <v/>
      </c>
      <c r="I204" s="185"/>
      <c r="J204" s="144"/>
      <c r="K204" s="159" t="str">
        <f aca="false">IF(C204="","",N(C204)/IF(N204&lt;&gt;"",N204,IF(J204="",1,IFERROR(INDEX(Setup!$C$23:$C$46,MATCH(J204,Setup!$A$23:$A$46,0)),1))))</f>
        <v/>
      </c>
      <c r="L204" s="144"/>
      <c r="M204" s="108"/>
      <c r="N204" s="111"/>
      <c r="O204" s="156" t="str">
        <f aca="false">IF(OR(B204="",L204="Transfer"),"",IF(COUNTIFS($B$5:$B$604,B204,$H$5:$H$604,EDATE(H204,-1),$C$5:$C$604,"&gt;="&amp;C204*0.85,$C$5:$C$604,"&lt;="&amp;C204*1.15)&gt;0,"recurring",""))</f>
        <v/>
      </c>
      <c r="P204" s="157" t="str">
        <f aca="false">IF(B204="","",IF(COUNTIF(B204:$B$604,B204)=1,1,""))</f>
        <v/>
      </c>
      <c r="Q204" s="157" t="str">
        <f aca="false">IF(AND(O204="recurring",P204=1),COUNTIFS($O$5:O204,"recurring",$P$5:P204,1),"")</f>
        <v/>
      </c>
    </row>
    <row r="205" customFormat="false" ht="15" hidden="false" customHeight="false" outlineLevel="0" collapsed="false">
      <c r="A205" s="110"/>
      <c r="B205" s="108"/>
      <c r="C205" s="142"/>
      <c r="D205" s="108"/>
      <c r="E205" s="183" t="str">
        <f aca="false" t="array" ref="E205:E205">IF(B205="","",IFERROR(INDEX(Keywords!$B$5:$B$165,MAX(ISNUMBER(SEARCH(Keywords!$A$5:$A$165,B205))*(Keywords!$A$5:$A$165&lt;&gt;"")*ROW(Keywords!$A$5:$A$165))-4),""))</f>
        <v/>
      </c>
      <c r="F205" s="150" t="str">
        <f aca="false">IF(B205="","",IF(L205="Transfer","Transfer",IF(L205="Income","Income",IF(D205&lt;&gt;"",D205,IF(E205&lt;&gt;"",E205,"Uncategorized")))))</f>
        <v/>
      </c>
      <c r="G205" s="108"/>
      <c r="H205" s="184" t="str">
        <f aca="false">IF(A205="","",DATE(YEAR(A205),MONTH(A205),1))</f>
        <v/>
      </c>
      <c r="I205" s="185"/>
      <c r="J205" s="144"/>
      <c r="K205" s="159" t="str">
        <f aca="false">IF(C205="","",N(C205)/IF(N205&lt;&gt;"",N205,IF(J205="",1,IFERROR(INDEX(Setup!$C$23:$C$46,MATCH(J205,Setup!$A$23:$A$46,0)),1))))</f>
        <v/>
      </c>
      <c r="L205" s="144"/>
      <c r="M205" s="108"/>
      <c r="N205" s="111"/>
      <c r="O205" s="156" t="str">
        <f aca="false">IF(OR(B205="",L205="Transfer"),"",IF(COUNTIFS($B$5:$B$604,B205,$H$5:$H$604,EDATE(H205,-1),$C$5:$C$604,"&gt;="&amp;C205*0.85,$C$5:$C$604,"&lt;="&amp;C205*1.15)&gt;0,"recurring",""))</f>
        <v/>
      </c>
      <c r="P205" s="157" t="str">
        <f aca="false">IF(B205="","",IF(COUNTIF(B205:$B$604,B205)=1,1,""))</f>
        <v/>
      </c>
      <c r="Q205" s="157" t="str">
        <f aca="false">IF(AND(O205="recurring",P205=1),COUNTIFS($O$5:O205,"recurring",$P$5:P205,1),"")</f>
        <v/>
      </c>
    </row>
    <row r="206" customFormat="false" ht="15" hidden="false" customHeight="false" outlineLevel="0" collapsed="false">
      <c r="A206" s="110"/>
      <c r="B206" s="108"/>
      <c r="C206" s="142"/>
      <c r="D206" s="108"/>
      <c r="E206" s="183" t="str">
        <f aca="false" t="array" ref="E206:E206">IF(B206="","",IFERROR(INDEX(Keywords!$B$5:$B$165,MAX(ISNUMBER(SEARCH(Keywords!$A$5:$A$165,B206))*(Keywords!$A$5:$A$165&lt;&gt;"")*ROW(Keywords!$A$5:$A$165))-4),""))</f>
        <v/>
      </c>
      <c r="F206" s="150" t="str">
        <f aca="false">IF(B206="","",IF(L206="Transfer","Transfer",IF(L206="Income","Income",IF(D206&lt;&gt;"",D206,IF(E206&lt;&gt;"",E206,"Uncategorized")))))</f>
        <v/>
      </c>
      <c r="G206" s="108"/>
      <c r="H206" s="184" t="str">
        <f aca="false">IF(A206="","",DATE(YEAR(A206),MONTH(A206),1))</f>
        <v/>
      </c>
      <c r="I206" s="185"/>
      <c r="J206" s="144"/>
      <c r="K206" s="159" t="str">
        <f aca="false">IF(C206="","",N(C206)/IF(N206&lt;&gt;"",N206,IF(J206="",1,IFERROR(INDEX(Setup!$C$23:$C$46,MATCH(J206,Setup!$A$23:$A$46,0)),1))))</f>
        <v/>
      </c>
      <c r="L206" s="144"/>
      <c r="M206" s="108"/>
      <c r="N206" s="111"/>
      <c r="O206" s="156" t="str">
        <f aca="false">IF(OR(B206="",L206="Transfer"),"",IF(COUNTIFS($B$5:$B$604,B206,$H$5:$H$604,EDATE(H206,-1),$C$5:$C$604,"&gt;="&amp;C206*0.85,$C$5:$C$604,"&lt;="&amp;C206*1.15)&gt;0,"recurring",""))</f>
        <v/>
      </c>
      <c r="P206" s="157" t="str">
        <f aca="false">IF(B206="","",IF(COUNTIF(B206:$B$604,B206)=1,1,""))</f>
        <v/>
      </c>
      <c r="Q206" s="157" t="str">
        <f aca="false">IF(AND(O206="recurring",P206=1),COUNTIFS($O$5:O206,"recurring",$P$5:P206,1),"")</f>
        <v/>
      </c>
    </row>
    <row r="207" customFormat="false" ht="15" hidden="false" customHeight="false" outlineLevel="0" collapsed="false">
      <c r="A207" s="110"/>
      <c r="B207" s="108"/>
      <c r="C207" s="142"/>
      <c r="D207" s="108"/>
      <c r="E207" s="183" t="str">
        <f aca="false" t="array" ref="E207:E207">IF(B207="","",IFERROR(INDEX(Keywords!$B$5:$B$165,MAX(ISNUMBER(SEARCH(Keywords!$A$5:$A$165,B207))*(Keywords!$A$5:$A$165&lt;&gt;"")*ROW(Keywords!$A$5:$A$165))-4),""))</f>
        <v/>
      </c>
      <c r="F207" s="150" t="str">
        <f aca="false">IF(B207="","",IF(L207="Transfer","Transfer",IF(L207="Income","Income",IF(D207&lt;&gt;"",D207,IF(E207&lt;&gt;"",E207,"Uncategorized")))))</f>
        <v/>
      </c>
      <c r="G207" s="108"/>
      <c r="H207" s="184" t="str">
        <f aca="false">IF(A207="","",DATE(YEAR(A207),MONTH(A207),1))</f>
        <v/>
      </c>
      <c r="I207" s="185"/>
      <c r="J207" s="144"/>
      <c r="K207" s="159" t="str">
        <f aca="false">IF(C207="","",N(C207)/IF(N207&lt;&gt;"",N207,IF(J207="",1,IFERROR(INDEX(Setup!$C$23:$C$46,MATCH(J207,Setup!$A$23:$A$46,0)),1))))</f>
        <v/>
      </c>
      <c r="L207" s="144"/>
      <c r="M207" s="108"/>
      <c r="N207" s="111"/>
      <c r="O207" s="156" t="str">
        <f aca="false">IF(OR(B207="",L207="Transfer"),"",IF(COUNTIFS($B$5:$B$604,B207,$H$5:$H$604,EDATE(H207,-1),$C$5:$C$604,"&gt;="&amp;C207*0.85,$C$5:$C$604,"&lt;="&amp;C207*1.15)&gt;0,"recurring",""))</f>
        <v/>
      </c>
      <c r="P207" s="157" t="str">
        <f aca="false">IF(B207="","",IF(COUNTIF(B207:$B$604,B207)=1,1,""))</f>
        <v/>
      </c>
      <c r="Q207" s="157" t="str">
        <f aca="false">IF(AND(O207="recurring",P207=1),COUNTIFS($O$5:O207,"recurring",$P$5:P207,1),"")</f>
        <v/>
      </c>
    </row>
    <row r="208" customFormat="false" ht="15" hidden="false" customHeight="false" outlineLevel="0" collapsed="false">
      <c r="A208" s="110"/>
      <c r="B208" s="108"/>
      <c r="C208" s="142"/>
      <c r="D208" s="108"/>
      <c r="E208" s="183" t="str">
        <f aca="false" t="array" ref="E208:E208">IF(B208="","",IFERROR(INDEX(Keywords!$B$5:$B$165,MAX(ISNUMBER(SEARCH(Keywords!$A$5:$A$165,B208))*(Keywords!$A$5:$A$165&lt;&gt;"")*ROW(Keywords!$A$5:$A$165))-4),""))</f>
        <v/>
      </c>
      <c r="F208" s="150" t="str">
        <f aca="false">IF(B208="","",IF(L208="Transfer","Transfer",IF(L208="Income","Income",IF(D208&lt;&gt;"",D208,IF(E208&lt;&gt;"",E208,"Uncategorized")))))</f>
        <v/>
      </c>
      <c r="G208" s="108"/>
      <c r="H208" s="184" t="str">
        <f aca="false">IF(A208="","",DATE(YEAR(A208),MONTH(A208),1))</f>
        <v/>
      </c>
      <c r="I208" s="185"/>
      <c r="J208" s="144"/>
      <c r="K208" s="159" t="str">
        <f aca="false">IF(C208="","",N(C208)/IF(N208&lt;&gt;"",N208,IF(J208="",1,IFERROR(INDEX(Setup!$C$23:$C$46,MATCH(J208,Setup!$A$23:$A$46,0)),1))))</f>
        <v/>
      </c>
      <c r="L208" s="144"/>
      <c r="M208" s="108"/>
      <c r="N208" s="111"/>
      <c r="O208" s="156" t="str">
        <f aca="false">IF(OR(B208="",L208="Transfer"),"",IF(COUNTIFS($B$5:$B$604,B208,$H$5:$H$604,EDATE(H208,-1),$C$5:$C$604,"&gt;="&amp;C208*0.85,$C$5:$C$604,"&lt;="&amp;C208*1.15)&gt;0,"recurring",""))</f>
        <v/>
      </c>
      <c r="P208" s="157" t="str">
        <f aca="false">IF(B208="","",IF(COUNTIF(B208:$B$604,B208)=1,1,""))</f>
        <v/>
      </c>
      <c r="Q208" s="157" t="str">
        <f aca="false">IF(AND(O208="recurring",P208=1),COUNTIFS($O$5:O208,"recurring",$P$5:P208,1),"")</f>
        <v/>
      </c>
    </row>
    <row r="209" customFormat="false" ht="15" hidden="false" customHeight="false" outlineLevel="0" collapsed="false">
      <c r="A209" s="110"/>
      <c r="B209" s="108"/>
      <c r="C209" s="142"/>
      <c r="D209" s="108"/>
      <c r="E209" s="183" t="str">
        <f aca="false" t="array" ref="E209:E209">IF(B209="","",IFERROR(INDEX(Keywords!$B$5:$B$165,MAX(ISNUMBER(SEARCH(Keywords!$A$5:$A$165,B209))*(Keywords!$A$5:$A$165&lt;&gt;"")*ROW(Keywords!$A$5:$A$165))-4),""))</f>
        <v/>
      </c>
      <c r="F209" s="150" t="str">
        <f aca="false">IF(B209="","",IF(L209="Transfer","Transfer",IF(L209="Income","Income",IF(D209&lt;&gt;"",D209,IF(E209&lt;&gt;"",E209,"Uncategorized")))))</f>
        <v/>
      </c>
      <c r="G209" s="108"/>
      <c r="H209" s="184" t="str">
        <f aca="false">IF(A209="","",DATE(YEAR(A209),MONTH(A209),1))</f>
        <v/>
      </c>
      <c r="I209" s="185"/>
      <c r="J209" s="144"/>
      <c r="K209" s="159" t="str">
        <f aca="false">IF(C209="","",N(C209)/IF(N209&lt;&gt;"",N209,IF(J209="",1,IFERROR(INDEX(Setup!$C$23:$C$46,MATCH(J209,Setup!$A$23:$A$46,0)),1))))</f>
        <v/>
      </c>
      <c r="L209" s="144"/>
      <c r="M209" s="108"/>
      <c r="N209" s="111"/>
      <c r="O209" s="156" t="str">
        <f aca="false">IF(OR(B209="",L209="Transfer"),"",IF(COUNTIFS($B$5:$B$604,B209,$H$5:$H$604,EDATE(H209,-1),$C$5:$C$604,"&gt;="&amp;C209*0.85,$C$5:$C$604,"&lt;="&amp;C209*1.15)&gt;0,"recurring",""))</f>
        <v/>
      </c>
      <c r="P209" s="157" t="str">
        <f aca="false">IF(B209="","",IF(COUNTIF(B209:$B$604,B209)=1,1,""))</f>
        <v/>
      </c>
      <c r="Q209" s="157" t="str">
        <f aca="false">IF(AND(O209="recurring",P209=1),COUNTIFS($O$5:O209,"recurring",$P$5:P209,1),"")</f>
        <v/>
      </c>
    </row>
    <row r="210" customFormat="false" ht="15" hidden="false" customHeight="false" outlineLevel="0" collapsed="false">
      <c r="A210" s="110"/>
      <c r="B210" s="108"/>
      <c r="C210" s="142"/>
      <c r="D210" s="108"/>
      <c r="E210" s="183" t="str">
        <f aca="false" t="array" ref="E210:E210">IF(B210="","",IFERROR(INDEX(Keywords!$B$5:$B$165,MAX(ISNUMBER(SEARCH(Keywords!$A$5:$A$165,B210))*(Keywords!$A$5:$A$165&lt;&gt;"")*ROW(Keywords!$A$5:$A$165))-4),""))</f>
        <v/>
      </c>
      <c r="F210" s="150" t="str">
        <f aca="false">IF(B210="","",IF(L210="Transfer","Transfer",IF(L210="Income","Income",IF(D210&lt;&gt;"",D210,IF(E210&lt;&gt;"",E210,"Uncategorized")))))</f>
        <v/>
      </c>
      <c r="G210" s="108"/>
      <c r="H210" s="184" t="str">
        <f aca="false">IF(A210="","",DATE(YEAR(A210),MONTH(A210),1))</f>
        <v/>
      </c>
      <c r="I210" s="185"/>
      <c r="J210" s="144"/>
      <c r="K210" s="159" t="str">
        <f aca="false">IF(C210="","",N(C210)/IF(N210&lt;&gt;"",N210,IF(J210="",1,IFERROR(INDEX(Setup!$C$23:$C$46,MATCH(J210,Setup!$A$23:$A$46,0)),1))))</f>
        <v/>
      </c>
      <c r="L210" s="144"/>
      <c r="M210" s="108"/>
      <c r="N210" s="111"/>
      <c r="O210" s="156" t="str">
        <f aca="false">IF(OR(B210="",L210="Transfer"),"",IF(COUNTIFS($B$5:$B$604,B210,$H$5:$H$604,EDATE(H210,-1),$C$5:$C$604,"&gt;="&amp;C210*0.85,$C$5:$C$604,"&lt;="&amp;C210*1.15)&gt;0,"recurring",""))</f>
        <v/>
      </c>
      <c r="P210" s="157" t="str">
        <f aca="false">IF(B210="","",IF(COUNTIF(B210:$B$604,B210)=1,1,""))</f>
        <v/>
      </c>
      <c r="Q210" s="157" t="str">
        <f aca="false">IF(AND(O210="recurring",P210=1),COUNTIFS($O$5:O210,"recurring",$P$5:P210,1),"")</f>
        <v/>
      </c>
    </row>
    <row r="211" customFormat="false" ht="15" hidden="false" customHeight="false" outlineLevel="0" collapsed="false">
      <c r="A211" s="110"/>
      <c r="B211" s="108"/>
      <c r="C211" s="142"/>
      <c r="D211" s="108"/>
      <c r="E211" s="183" t="str">
        <f aca="false" t="array" ref="E211:E211">IF(B211="","",IFERROR(INDEX(Keywords!$B$5:$B$165,MAX(ISNUMBER(SEARCH(Keywords!$A$5:$A$165,B211))*(Keywords!$A$5:$A$165&lt;&gt;"")*ROW(Keywords!$A$5:$A$165))-4),""))</f>
        <v/>
      </c>
      <c r="F211" s="150" t="str">
        <f aca="false">IF(B211="","",IF(L211="Transfer","Transfer",IF(L211="Income","Income",IF(D211&lt;&gt;"",D211,IF(E211&lt;&gt;"",E211,"Uncategorized")))))</f>
        <v/>
      </c>
      <c r="G211" s="108"/>
      <c r="H211" s="184" t="str">
        <f aca="false">IF(A211="","",DATE(YEAR(A211),MONTH(A211),1))</f>
        <v/>
      </c>
      <c r="I211" s="185"/>
      <c r="J211" s="144"/>
      <c r="K211" s="159" t="str">
        <f aca="false">IF(C211="","",N(C211)/IF(N211&lt;&gt;"",N211,IF(J211="",1,IFERROR(INDEX(Setup!$C$23:$C$46,MATCH(J211,Setup!$A$23:$A$46,0)),1))))</f>
        <v/>
      </c>
      <c r="L211" s="144"/>
      <c r="M211" s="108"/>
      <c r="N211" s="111"/>
      <c r="O211" s="156" t="str">
        <f aca="false">IF(OR(B211="",L211="Transfer"),"",IF(COUNTIFS($B$5:$B$604,B211,$H$5:$H$604,EDATE(H211,-1),$C$5:$C$604,"&gt;="&amp;C211*0.85,$C$5:$C$604,"&lt;="&amp;C211*1.15)&gt;0,"recurring",""))</f>
        <v/>
      </c>
      <c r="P211" s="157" t="str">
        <f aca="false">IF(B211="","",IF(COUNTIF(B211:$B$604,B211)=1,1,""))</f>
        <v/>
      </c>
      <c r="Q211" s="157" t="str">
        <f aca="false">IF(AND(O211="recurring",P211=1),COUNTIFS($O$5:O211,"recurring",$P$5:P211,1),"")</f>
        <v/>
      </c>
    </row>
    <row r="212" customFormat="false" ht="15" hidden="false" customHeight="false" outlineLevel="0" collapsed="false">
      <c r="A212" s="110"/>
      <c r="B212" s="108"/>
      <c r="C212" s="142"/>
      <c r="D212" s="108"/>
      <c r="E212" s="183" t="str">
        <f aca="false" t="array" ref="E212:E212">IF(B212="","",IFERROR(INDEX(Keywords!$B$5:$B$165,MAX(ISNUMBER(SEARCH(Keywords!$A$5:$A$165,B212))*(Keywords!$A$5:$A$165&lt;&gt;"")*ROW(Keywords!$A$5:$A$165))-4),""))</f>
        <v/>
      </c>
      <c r="F212" s="150" t="str">
        <f aca="false">IF(B212="","",IF(L212="Transfer","Transfer",IF(L212="Income","Income",IF(D212&lt;&gt;"",D212,IF(E212&lt;&gt;"",E212,"Uncategorized")))))</f>
        <v/>
      </c>
      <c r="G212" s="108"/>
      <c r="H212" s="184" t="str">
        <f aca="false">IF(A212="","",DATE(YEAR(A212),MONTH(A212),1))</f>
        <v/>
      </c>
      <c r="I212" s="185"/>
      <c r="J212" s="144"/>
      <c r="K212" s="159" t="str">
        <f aca="false">IF(C212="","",N(C212)/IF(N212&lt;&gt;"",N212,IF(J212="",1,IFERROR(INDEX(Setup!$C$23:$C$46,MATCH(J212,Setup!$A$23:$A$46,0)),1))))</f>
        <v/>
      </c>
      <c r="L212" s="144"/>
      <c r="M212" s="108"/>
      <c r="N212" s="111"/>
      <c r="O212" s="156" t="str">
        <f aca="false">IF(OR(B212="",L212="Transfer"),"",IF(COUNTIFS($B$5:$B$604,B212,$H$5:$H$604,EDATE(H212,-1),$C$5:$C$604,"&gt;="&amp;C212*0.85,$C$5:$C$604,"&lt;="&amp;C212*1.15)&gt;0,"recurring",""))</f>
        <v/>
      </c>
      <c r="P212" s="157" t="str">
        <f aca="false">IF(B212="","",IF(COUNTIF(B212:$B$604,B212)=1,1,""))</f>
        <v/>
      </c>
      <c r="Q212" s="157" t="str">
        <f aca="false">IF(AND(O212="recurring",P212=1),COUNTIFS($O$5:O212,"recurring",$P$5:P212,1),"")</f>
        <v/>
      </c>
    </row>
    <row r="213" customFormat="false" ht="15" hidden="false" customHeight="false" outlineLevel="0" collapsed="false">
      <c r="A213" s="110"/>
      <c r="B213" s="108"/>
      <c r="C213" s="142"/>
      <c r="D213" s="108"/>
      <c r="E213" s="183" t="str">
        <f aca="false" t="array" ref="E213:E213">IF(B213="","",IFERROR(INDEX(Keywords!$B$5:$B$165,MAX(ISNUMBER(SEARCH(Keywords!$A$5:$A$165,B213))*(Keywords!$A$5:$A$165&lt;&gt;"")*ROW(Keywords!$A$5:$A$165))-4),""))</f>
        <v/>
      </c>
      <c r="F213" s="150" t="str">
        <f aca="false">IF(B213="","",IF(L213="Transfer","Transfer",IF(L213="Income","Income",IF(D213&lt;&gt;"",D213,IF(E213&lt;&gt;"",E213,"Uncategorized")))))</f>
        <v/>
      </c>
      <c r="G213" s="108"/>
      <c r="H213" s="184" t="str">
        <f aca="false">IF(A213="","",DATE(YEAR(A213),MONTH(A213),1))</f>
        <v/>
      </c>
      <c r="I213" s="185"/>
      <c r="J213" s="144"/>
      <c r="K213" s="159" t="str">
        <f aca="false">IF(C213="","",N(C213)/IF(N213&lt;&gt;"",N213,IF(J213="",1,IFERROR(INDEX(Setup!$C$23:$C$46,MATCH(J213,Setup!$A$23:$A$46,0)),1))))</f>
        <v/>
      </c>
      <c r="L213" s="144"/>
      <c r="M213" s="108"/>
      <c r="N213" s="111"/>
      <c r="O213" s="156" t="str">
        <f aca="false">IF(OR(B213="",L213="Transfer"),"",IF(COUNTIFS($B$5:$B$604,B213,$H$5:$H$604,EDATE(H213,-1),$C$5:$C$604,"&gt;="&amp;C213*0.85,$C$5:$C$604,"&lt;="&amp;C213*1.15)&gt;0,"recurring",""))</f>
        <v/>
      </c>
      <c r="P213" s="157" t="str">
        <f aca="false">IF(B213="","",IF(COUNTIF(B213:$B$604,B213)=1,1,""))</f>
        <v/>
      </c>
      <c r="Q213" s="157" t="str">
        <f aca="false">IF(AND(O213="recurring",P213=1),COUNTIFS($O$5:O213,"recurring",$P$5:P213,1),"")</f>
        <v/>
      </c>
    </row>
    <row r="214" customFormat="false" ht="15" hidden="false" customHeight="false" outlineLevel="0" collapsed="false">
      <c r="A214" s="110"/>
      <c r="B214" s="108"/>
      <c r="C214" s="142"/>
      <c r="D214" s="108"/>
      <c r="E214" s="183" t="str">
        <f aca="false" t="array" ref="E214:E214">IF(B214="","",IFERROR(INDEX(Keywords!$B$5:$B$165,MAX(ISNUMBER(SEARCH(Keywords!$A$5:$A$165,B214))*(Keywords!$A$5:$A$165&lt;&gt;"")*ROW(Keywords!$A$5:$A$165))-4),""))</f>
        <v/>
      </c>
      <c r="F214" s="150" t="str">
        <f aca="false">IF(B214="","",IF(L214="Transfer","Transfer",IF(L214="Income","Income",IF(D214&lt;&gt;"",D214,IF(E214&lt;&gt;"",E214,"Uncategorized")))))</f>
        <v/>
      </c>
      <c r="G214" s="108"/>
      <c r="H214" s="184" t="str">
        <f aca="false">IF(A214="","",DATE(YEAR(A214),MONTH(A214),1))</f>
        <v/>
      </c>
      <c r="I214" s="185"/>
      <c r="J214" s="144"/>
      <c r="K214" s="159" t="str">
        <f aca="false">IF(C214="","",N(C214)/IF(N214&lt;&gt;"",N214,IF(J214="",1,IFERROR(INDEX(Setup!$C$23:$C$46,MATCH(J214,Setup!$A$23:$A$46,0)),1))))</f>
        <v/>
      </c>
      <c r="L214" s="144"/>
      <c r="M214" s="108"/>
      <c r="N214" s="111"/>
      <c r="O214" s="156" t="str">
        <f aca="false">IF(OR(B214="",L214="Transfer"),"",IF(COUNTIFS($B$5:$B$604,B214,$H$5:$H$604,EDATE(H214,-1),$C$5:$C$604,"&gt;="&amp;C214*0.85,$C$5:$C$604,"&lt;="&amp;C214*1.15)&gt;0,"recurring",""))</f>
        <v/>
      </c>
      <c r="P214" s="157" t="str">
        <f aca="false">IF(B214="","",IF(COUNTIF(B214:$B$604,B214)=1,1,""))</f>
        <v/>
      </c>
      <c r="Q214" s="157" t="str">
        <f aca="false">IF(AND(O214="recurring",P214=1),COUNTIFS($O$5:O214,"recurring",$P$5:P214,1),"")</f>
        <v/>
      </c>
    </row>
    <row r="215" customFormat="false" ht="15" hidden="false" customHeight="false" outlineLevel="0" collapsed="false">
      <c r="A215" s="110"/>
      <c r="B215" s="108"/>
      <c r="C215" s="142"/>
      <c r="D215" s="108"/>
      <c r="E215" s="183" t="str">
        <f aca="false" t="array" ref="E215:E215">IF(B215="","",IFERROR(INDEX(Keywords!$B$5:$B$165,MAX(ISNUMBER(SEARCH(Keywords!$A$5:$A$165,B215))*(Keywords!$A$5:$A$165&lt;&gt;"")*ROW(Keywords!$A$5:$A$165))-4),""))</f>
        <v/>
      </c>
      <c r="F215" s="150" t="str">
        <f aca="false">IF(B215="","",IF(L215="Transfer","Transfer",IF(L215="Income","Income",IF(D215&lt;&gt;"",D215,IF(E215&lt;&gt;"",E215,"Uncategorized")))))</f>
        <v/>
      </c>
      <c r="G215" s="108"/>
      <c r="H215" s="184" t="str">
        <f aca="false">IF(A215="","",DATE(YEAR(A215),MONTH(A215),1))</f>
        <v/>
      </c>
      <c r="I215" s="185"/>
      <c r="J215" s="144"/>
      <c r="K215" s="159" t="str">
        <f aca="false">IF(C215="","",N(C215)/IF(N215&lt;&gt;"",N215,IF(J215="",1,IFERROR(INDEX(Setup!$C$23:$C$46,MATCH(J215,Setup!$A$23:$A$46,0)),1))))</f>
        <v/>
      </c>
      <c r="L215" s="144"/>
      <c r="M215" s="108"/>
      <c r="N215" s="111"/>
      <c r="O215" s="156" t="str">
        <f aca="false">IF(OR(B215="",L215="Transfer"),"",IF(COUNTIFS($B$5:$B$604,B215,$H$5:$H$604,EDATE(H215,-1),$C$5:$C$604,"&gt;="&amp;C215*0.85,$C$5:$C$604,"&lt;="&amp;C215*1.15)&gt;0,"recurring",""))</f>
        <v/>
      </c>
      <c r="P215" s="157" t="str">
        <f aca="false">IF(B215="","",IF(COUNTIF(B215:$B$604,B215)=1,1,""))</f>
        <v/>
      </c>
      <c r="Q215" s="157" t="str">
        <f aca="false">IF(AND(O215="recurring",P215=1),COUNTIFS($O$5:O215,"recurring",$P$5:P215,1),"")</f>
        <v/>
      </c>
    </row>
    <row r="216" customFormat="false" ht="15" hidden="false" customHeight="false" outlineLevel="0" collapsed="false">
      <c r="A216" s="110"/>
      <c r="B216" s="108"/>
      <c r="C216" s="142"/>
      <c r="D216" s="108"/>
      <c r="E216" s="183" t="str">
        <f aca="false" t="array" ref="E216:E216">IF(B216="","",IFERROR(INDEX(Keywords!$B$5:$B$165,MAX(ISNUMBER(SEARCH(Keywords!$A$5:$A$165,B216))*(Keywords!$A$5:$A$165&lt;&gt;"")*ROW(Keywords!$A$5:$A$165))-4),""))</f>
        <v/>
      </c>
      <c r="F216" s="150" t="str">
        <f aca="false">IF(B216="","",IF(L216="Transfer","Transfer",IF(L216="Income","Income",IF(D216&lt;&gt;"",D216,IF(E216&lt;&gt;"",E216,"Uncategorized")))))</f>
        <v/>
      </c>
      <c r="G216" s="108"/>
      <c r="H216" s="184" t="str">
        <f aca="false">IF(A216="","",DATE(YEAR(A216),MONTH(A216),1))</f>
        <v/>
      </c>
      <c r="I216" s="185"/>
      <c r="J216" s="144"/>
      <c r="K216" s="159" t="str">
        <f aca="false">IF(C216="","",N(C216)/IF(N216&lt;&gt;"",N216,IF(J216="",1,IFERROR(INDEX(Setup!$C$23:$C$46,MATCH(J216,Setup!$A$23:$A$46,0)),1))))</f>
        <v/>
      </c>
      <c r="L216" s="144"/>
      <c r="M216" s="108"/>
      <c r="N216" s="111"/>
      <c r="O216" s="156" t="str">
        <f aca="false">IF(OR(B216="",L216="Transfer"),"",IF(COUNTIFS($B$5:$B$604,B216,$H$5:$H$604,EDATE(H216,-1),$C$5:$C$604,"&gt;="&amp;C216*0.85,$C$5:$C$604,"&lt;="&amp;C216*1.15)&gt;0,"recurring",""))</f>
        <v/>
      </c>
      <c r="P216" s="157" t="str">
        <f aca="false">IF(B216="","",IF(COUNTIF(B216:$B$604,B216)=1,1,""))</f>
        <v/>
      </c>
      <c r="Q216" s="157" t="str">
        <f aca="false">IF(AND(O216="recurring",P216=1),COUNTIFS($O$5:O216,"recurring",$P$5:P216,1),"")</f>
        <v/>
      </c>
    </row>
    <row r="217" customFormat="false" ht="15" hidden="false" customHeight="false" outlineLevel="0" collapsed="false">
      <c r="A217" s="110"/>
      <c r="B217" s="108"/>
      <c r="C217" s="142"/>
      <c r="D217" s="108"/>
      <c r="E217" s="183" t="str">
        <f aca="false" t="array" ref="E217:E217">IF(B217="","",IFERROR(INDEX(Keywords!$B$5:$B$165,MAX(ISNUMBER(SEARCH(Keywords!$A$5:$A$165,B217))*(Keywords!$A$5:$A$165&lt;&gt;"")*ROW(Keywords!$A$5:$A$165))-4),""))</f>
        <v/>
      </c>
      <c r="F217" s="150" t="str">
        <f aca="false">IF(B217="","",IF(L217="Transfer","Transfer",IF(L217="Income","Income",IF(D217&lt;&gt;"",D217,IF(E217&lt;&gt;"",E217,"Uncategorized")))))</f>
        <v/>
      </c>
      <c r="G217" s="108"/>
      <c r="H217" s="184" t="str">
        <f aca="false">IF(A217="","",DATE(YEAR(A217),MONTH(A217),1))</f>
        <v/>
      </c>
      <c r="I217" s="185"/>
      <c r="J217" s="144"/>
      <c r="K217" s="159" t="str">
        <f aca="false">IF(C217="","",N(C217)/IF(N217&lt;&gt;"",N217,IF(J217="",1,IFERROR(INDEX(Setup!$C$23:$C$46,MATCH(J217,Setup!$A$23:$A$46,0)),1))))</f>
        <v/>
      </c>
      <c r="L217" s="144"/>
      <c r="M217" s="108"/>
      <c r="N217" s="111"/>
      <c r="O217" s="156" t="str">
        <f aca="false">IF(OR(B217="",L217="Transfer"),"",IF(COUNTIFS($B$5:$B$604,B217,$H$5:$H$604,EDATE(H217,-1),$C$5:$C$604,"&gt;="&amp;C217*0.85,$C$5:$C$604,"&lt;="&amp;C217*1.15)&gt;0,"recurring",""))</f>
        <v/>
      </c>
      <c r="P217" s="157" t="str">
        <f aca="false">IF(B217="","",IF(COUNTIF(B217:$B$604,B217)=1,1,""))</f>
        <v/>
      </c>
      <c r="Q217" s="157" t="str">
        <f aca="false">IF(AND(O217="recurring",P217=1),COUNTIFS($O$5:O217,"recurring",$P$5:P217,1),"")</f>
        <v/>
      </c>
    </row>
    <row r="218" customFormat="false" ht="15" hidden="false" customHeight="false" outlineLevel="0" collapsed="false">
      <c r="A218" s="110"/>
      <c r="B218" s="108"/>
      <c r="C218" s="142"/>
      <c r="D218" s="108"/>
      <c r="E218" s="183" t="str">
        <f aca="false" t="array" ref="E218:E218">IF(B218="","",IFERROR(INDEX(Keywords!$B$5:$B$165,MAX(ISNUMBER(SEARCH(Keywords!$A$5:$A$165,B218))*(Keywords!$A$5:$A$165&lt;&gt;"")*ROW(Keywords!$A$5:$A$165))-4),""))</f>
        <v/>
      </c>
      <c r="F218" s="150" t="str">
        <f aca="false">IF(B218="","",IF(L218="Transfer","Transfer",IF(L218="Income","Income",IF(D218&lt;&gt;"",D218,IF(E218&lt;&gt;"",E218,"Uncategorized")))))</f>
        <v/>
      </c>
      <c r="G218" s="108"/>
      <c r="H218" s="184" t="str">
        <f aca="false">IF(A218="","",DATE(YEAR(A218),MONTH(A218),1))</f>
        <v/>
      </c>
      <c r="I218" s="185"/>
      <c r="J218" s="144"/>
      <c r="K218" s="159" t="str">
        <f aca="false">IF(C218="","",N(C218)/IF(N218&lt;&gt;"",N218,IF(J218="",1,IFERROR(INDEX(Setup!$C$23:$C$46,MATCH(J218,Setup!$A$23:$A$46,0)),1))))</f>
        <v/>
      </c>
      <c r="L218" s="144"/>
      <c r="M218" s="108"/>
      <c r="N218" s="111"/>
      <c r="O218" s="156" t="str">
        <f aca="false">IF(OR(B218="",L218="Transfer"),"",IF(COUNTIFS($B$5:$B$604,B218,$H$5:$H$604,EDATE(H218,-1),$C$5:$C$604,"&gt;="&amp;C218*0.85,$C$5:$C$604,"&lt;="&amp;C218*1.15)&gt;0,"recurring",""))</f>
        <v/>
      </c>
      <c r="P218" s="157" t="str">
        <f aca="false">IF(B218="","",IF(COUNTIF(B218:$B$604,B218)=1,1,""))</f>
        <v/>
      </c>
      <c r="Q218" s="157" t="str">
        <f aca="false">IF(AND(O218="recurring",P218=1),COUNTIFS($O$5:O218,"recurring",$P$5:P218,1),"")</f>
        <v/>
      </c>
    </row>
    <row r="219" customFormat="false" ht="15" hidden="false" customHeight="false" outlineLevel="0" collapsed="false">
      <c r="A219" s="110"/>
      <c r="B219" s="108"/>
      <c r="C219" s="142"/>
      <c r="D219" s="108"/>
      <c r="E219" s="183" t="str">
        <f aca="false" t="array" ref="E219:E219">IF(B219="","",IFERROR(INDEX(Keywords!$B$5:$B$165,MAX(ISNUMBER(SEARCH(Keywords!$A$5:$A$165,B219))*(Keywords!$A$5:$A$165&lt;&gt;"")*ROW(Keywords!$A$5:$A$165))-4),""))</f>
        <v/>
      </c>
      <c r="F219" s="150" t="str">
        <f aca="false">IF(B219="","",IF(L219="Transfer","Transfer",IF(L219="Income","Income",IF(D219&lt;&gt;"",D219,IF(E219&lt;&gt;"",E219,"Uncategorized")))))</f>
        <v/>
      </c>
      <c r="G219" s="108"/>
      <c r="H219" s="184" t="str">
        <f aca="false">IF(A219="","",DATE(YEAR(A219),MONTH(A219),1))</f>
        <v/>
      </c>
      <c r="I219" s="185"/>
      <c r="J219" s="144"/>
      <c r="K219" s="159" t="str">
        <f aca="false">IF(C219="","",N(C219)/IF(N219&lt;&gt;"",N219,IF(J219="",1,IFERROR(INDEX(Setup!$C$23:$C$46,MATCH(J219,Setup!$A$23:$A$46,0)),1))))</f>
        <v/>
      </c>
      <c r="L219" s="144"/>
      <c r="M219" s="108"/>
      <c r="N219" s="111"/>
      <c r="O219" s="156" t="str">
        <f aca="false">IF(OR(B219="",L219="Transfer"),"",IF(COUNTIFS($B$5:$B$604,B219,$H$5:$H$604,EDATE(H219,-1),$C$5:$C$604,"&gt;="&amp;C219*0.85,$C$5:$C$604,"&lt;="&amp;C219*1.15)&gt;0,"recurring",""))</f>
        <v/>
      </c>
      <c r="P219" s="157" t="str">
        <f aca="false">IF(B219="","",IF(COUNTIF(B219:$B$604,B219)=1,1,""))</f>
        <v/>
      </c>
      <c r="Q219" s="157" t="str">
        <f aca="false">IF(AND(O219="recurring",P219=1),COUNTIFS($O$5:O219,"recurring",$P$5:P219,1),"")</f>
        <v/>
      </c>
    </row>
    <row r="220" customFormat="false" ht="15" hidden="false" customHeight="false" outlineLevel="0" collapsed="false">
      <c r="A220" s="110"/>
      <c r="B220" s="108"/>
      <c r="C220" s="142"/>
      <c r="D220" s="108"/>
      <c r="E220" s="183" t="str">
        <f aca="false" t="array" ref="E220:E220">IF(B220="","",IFERROR(INDEX(Keywords!$B$5:$B$165,MAX(ISNUMBER(SEARCH(Keywords!$A$5:$A$165,B220))*(Keywords!$A$5:$A$165&lt;&gt;"")*ROW(Keywords!$A$5:$A$165))-4),""))</f>
        <v/>
      </c>
      <c r="F220" s="150" t="str">
        <f aca="false">IF(B220="","",IF(L220="Transfer","Transfer",IF(L220="Income","Income",IF(D220&lt;&gt;"",D220,IF(E220&lt;&gt;"",E220,"Uncategorized")))))</f>
        <v/>
      </c>
      <c r="G220" s="108"/>
      <c r="H220" s="184" t="str">
        <f aca="false">IF(A220="","",DATE(YEAR(A220),MONTH(A220),1))</f>
        <v/>
      </c>
      <c r="I220" s="185"/>
      <c r="J220" s="144"/>
      <c r="K220" s="159" t="str">
        <f aca="false">IF(C220="","",N(C220)/IF(N220&lt;&gt;"",N220,IF(J220="",1,IFERROR(INDEX(Setup!$C$23:$C$46,MATCH(J220,Setup!$A$23:$A$46,0)),1))))</f>
        <v/>
      </c>
      <c r="L220" s="144"/>
      <c r="M220" s="108"/>
      <c r="N220" s="111"/>
      <c r="O220" s="156" t="str">
        <f aca="false">IF(OR(B220="",L220="Transfer"),"",IF(COUNTIFS($B$5:$B$604,B220,$H$5:$H$604,EDATE(H220,-1),$C$5:$C$604,"&gt;="&amp;C220*0.85,$C$5:$C$604,"&lt;="&amp;C220*1.15)&gt;0,"recurring",""))</f>
        <v/>
      </c>
      <c r="P220" s="157" t="str">
        <f aca="false">IF(B220="","",IF(COUNTIF(B220:$B$604,B220)=1,1,""))</f>
        <v/>
      </c>
      <c r="Q220" s="157" t="str">
        <f aca="false">IF(AND(O220="recurring",P220=1),COUNTIFS($O$5:O220,"recurring",$P$5:P220,1),"")</f>
        <v/>
      </c>
    </row>
    <row r="221" customFormat="false" ht="15" hidden="false" customHeight="false" outlineLevel="0" collapsed="false">
      <c r="A221" s="110"/>
      <c r="B221" s="108"/>
      <c r="C221" s="142"/>
      <c r="D221" s="108"/>
      <c r="E221" s="183" t="str">
        <f aca="false" t="array" ref="E221:E221">IF(B221="","",IFERROR(INDEX(Keywords!$B$5:$B$165,MAX(ISNUMBER(SEARCH(Keywords!$A$5:$A$165,B221))*(Keywords!$A$5:$A$165&lt;&gt;"")*ROW(Keywords!$A$5:$A$165))-4),""))</f>
        <v/>
      </c>
      <c r="F221" s="150" t="str">
        <f aca="false">IF(B221="","",IF(L221="Transfer","Transfer",IF(L221="Income","Income",IF(D221&lt;&gt;"",D221,IF(E221&lt;&gt;"",E221,"Uncategorized")))))</f>
        <v/>
      </c>
      <c r="G221" s="108"/>
      <c r="H221" s="184" t="str">
        <f aca="false">IF(A221="","",DATE(YEAR(A221),MONTH(A221),1))</f>
        <v/>
      </c>
      <c r="I221" s="185"/>
      <c r="J221" s="144"/>
      <c r="K221" s="159" t="str">
        <f aca="false">IF(C221="","",N(C221)/IF(N221&lt;&gt;"",N221,IF(J221="",1,IFERROR(INDEX(Setup!$C$23:$C$46,MATCH(J221,Setup!$A$23:$A$46,0)),1))))</f>
        <v/>
      </c>
      <c r="L221" s="144"/>
      <c r="M221" s="108"/>
      <c r="N221" s="111"/>
      <c r="O221" s="156" t="str">
        <f aca="false">IF(OR(B221="",L221="Transfer"),"",IF(COUNTIFS($B$5:$B$604,B221,$H$5:$H$604,EDATE(H221,-1),$C$5:$C$604,"&gt;="&amp;C221*0.85,$C$5:$C$604,"&lt;="&amp;C221*1.15)&gt;0,"recurring",""))</f>
        <v/>
      </c>
      <c r="P221" s="157" t="str">
        <f aca="false">IF(B221="","",IF(COUNTIF(B221:$B$604,B221)=1,1,""))</f>
        <v/>
      </c>
      <c r="Q221" s="157" t="str">
        <f aca="false">IF(AND(O221="recurring",P221=1),COUNTIFS($O$5:O221,"recurring",$P$5:P221,1),"")</f>
        <v/>
      </c>
    </row>
    <row r="222" customFormat="false" ht="15" hidden="false" customHeight="false" outlineLevel="0" collapsed="false">
      <c r="A222" s="110"/>
      <c r="B222" s="108"/>
      <c r="C222" s="142"/>
      <c r="D222" s="108"/>
      <c r="E222" s="183" t="str">
        <f aca="false" t="array" ref="E222:E222">IF(B222="","",IFERROR(INDEX(Keywords!$B$5:$B$165,MAX(ISNUMBER(SEARCH(Keywords!$A$5:$A$165,B222))*(Keywords!$A$5:$A$165&lt;&gt;"")*ROW(Keywords!$A$5:$A$165))-4),""))</f>
        <v/>
      </c>
      <c r="F222" s="150" t="str">
        <f aca="false">IF(B222="","",IF(L222="Transfer","Transfer",IF(L222="Income","Income",IF(D222&lt;&gt;"",D222,IF(E222&lt;&gt;"",E222,"Uncategorized")))))</f>
        <v/>
      </c>
      <c r="G222" s="108"/>
      <c r="H222" s="184" t="str">
        <f aca="false">IF(A222="","",DATE(YEAR(A222),MONTH(A222),1))</f>
        <v/>
      </c>
      <c r="I222" s="185"/>
      <c r="J222" s="144"/>
      <c r="K222" s="159" t="str">
        <f aca="false">IF(C222="","",N(C222)/IF(N222&lt;&gt;"",N222,IF(J222="",1,IFERROR(INDEX(Setup!$C$23:$C$46,MATCH(J222,Setup!$A$23:$A$46,0)),1))))</f>
        <v/>
      </c>
      <c r="L222" s="144"/>
      <c r="M222" s="108"/>
      <c r="N222" s="111"/>
      <c r="O222" s="156" t="str">
        <f aca="false">IF(OR(B222="",L222="Transfer"),"",IF(COUNTIFS($B$5:$B$604,B222,$H$5:$H$604,EDATE(H222,-1),$C$5:$C$604,"&gt;="&amp;C222*0.85,$C$5:$C$604,"&lt;="&amp;C222*1.15)&gt;0,"recurring",""))</f>
        <v/>
      </c>
      <c r="P222" s="157" t="str">
        <f aca="false">IF(B222="","",IF(COUNTIF(B222:$B$604,B222)=1,1,""))</f>
        <v/>
      </c>
      <c r="Q222" s="157" t="str">
        <f aca="false">IF(AND(O222="recurring",P222=1),COUNTIFS($O$5:O222,"recurring",$P$5:P222,1),"")</f>
        <v/>
      </c>
    </row>
    <row r="223" customFormat="false" ht="15" hidden="false" customHeight="false" outlineLevel="0" collapsed="false">
      <c r="A223" s="110"/>
      <c r="B223" s="108"/>
      <c r="C223" s="142"/>
      <c r="D223" s="108"/>
      <c r="E223" s="183" t="str">
        <f aca="false" t="array" ref="E223:E223">IF(B223="","",IFERROR(INDEX(Keywords!$B$5:$B$165,MAX(ISNUMBER(SEARCH(Keywords!$A$5:$A$165,B223))*(Keywords!$A$5:$A$165&lt;&gt;"")*ROW(Keywords!$A$5:$A$165))-4),""))</f>
        <v/>
      </c>
      <c r="F223" s="150" t="str">
        <f aca="false">IF(B223="","",IF(L223="Transfer","Transfer",IF(L223="Income","Income",IF(D223&lt;&gt;"",D223,IF(E223&lt;&gt;"",E223,"Uncategorized")))))</f>
        <v/>
      </c>
      <c r="G223" s="108"/>
      <c r="H223" s="184" t="str">
        <f aca="false">IF(A223="","",DATE(YEAR(A223),MONTH(A223),1))</f>
        <v/>
      </c>
      <c r="I223" s="185"/>
      <c r="J223" s="144"/>
      <c r="K223" s="159" t="str">
        <f aca="false">IF(C223="","",N(C223)/IF(N223&lt;&gt;"",N223,IF(J223="",1,IFERROR(INDEX(Setup!$C$23:$C$46,MATCH(J223,Setup!$A$23:$A$46,0)),1))))</f>
        <v/>
      </c>
      <c r="L223" s="144"/>
      <c r="M223" s="108"/>
      <c r="N223" s="111"/>
      <c r="O223" s="156" t="str">
        <f aca="false">IF(OR(B223="",L223="Transfer"),"",IF(COUNTIFS($B$5:$B$604,B223,$H$5:$H$604,EDATE(H223,-1),$C$5:$C$604,"&gt;="&amp;C223*0.85,$C$5:$C$604,"&lt;="&amp;C223*1.15)&gt;0,"recurring",""))</f>
        <v/>
      </c>
      <c r="P223" s="157" t="str">
        <f aca="false">IF(B223="","",IF(COUNTIF(B223:$B$604,B223)=1,1,""))</f>
        <v/>
      </c>
      <c r="Q223" s="157" t="str">
        <f aca="false">IF(AND(O223="recurring",P223=1),COUNTIFS($O$5:O223,"recurring",$P$5:P223,1),"")</f>
        <v/>
      </c>
    </row>
    <row r="224" customFormat="false" ht="15" hidden="false" customHeight="false" outlineLevel="0" collapsed="false">
      <c r="A224" s="110"/>
      <c r="B224" s="108"/>
      <c r="C224" s="142"/>
      <c r="D224" s="108"/>
      <c r="E224" s="183" t="str">
        <f aca="false" t="array" ref="E224:E224">IF(B224="","",IFERROR(INDEX(Keywords!$B$5:$B$165,MAX(ISNUMBER(SEARCH(Keywords!$A$5:$A$165,B224))*(Keywords!$A$5:$A$165&lt;&gt;"")*ROW(Keywords!$A$5:$A$165))-4),""))</f>
        <v/>
      </c>
      <c r="F224" s="150" t="str">
        <f aca="false">IF(B224="","",IF(L224="Transfer","Transfer",IF(L224="Income","Income",IF(D224&lt;&gt;"",D224,IF(E224&lt;&gt;"",E224,"Uncategorized")))))</f>
        <v/>
      </c>
      <c r="G224" s="108"/>
      <c r="H224" s="184" t="str">
        <f aca="false">IF(A224="","",DATE(YEAR(A224),MONTH(A224),1))</f>
        <v/>
      </c>
      <c r="I224" s="185"/>
      <c r="J224" s="144"/>
      <c r="K224" s="159" t="str">
        <f aca="false">IF(C224="","",N(C224)/IF(N224&lt;&gt;"",N224,IF(J224="",1,IFERROR(INDEX(Setup!$C$23:$C$46,MATCH(J224,Setup!$A$23:$A$46,0)),1))))</f>
        <v/>
      </c>
      <c r="L224" s="144"/>
      <c r="M224" s="108"/>
      <c r="N224" s="111"/>
      <c r="O224" s="156" t="str">
        <f aca="false">IF(OR(B224="",L224="Transfer"),"",IF(COUNTIFS($B$5:$B$604,B224,$H$5:$H$604,EDATE(H224,-1),$C$5:$C$604,"&gt;="&amp;C224*0.85,$C$5:$C$604,"&lt;="&amp;C224*1.15)&gt;0,"recurring",""))</f>
        <v/>
      </c>
      <c r="P224" s="157" t="str">
        <f aca="false">IF(B224="","",IF(COUNTIF(B224:$B$604,B224)=1,1,""))</f>
        <v/>
      </c>
      <c r="Q224" s="157" t="str">
        <f aca="false">IF(AND(O224="recurring",P224=1),COUNTIFS($O$5:O224,"recurring",$P$5:P224,1),"")</f>
        <v/>
      </c>
    </row>
    <row r="225" customFormat="false" ht="15" hidden="false" customHeight="false" outlineLevel="0" collapsed="false">
      <c r="A225" s="110"/>
      <c r="B225" s="108"/>
      <c r="C225" s="142"/>
      <c r="D225" s="108"/>
      <c r="E225" s="183" t="str">
        <f aca="false" t="array" ref="E225:E225">IF(B225="","",IFERROR(INDEX(Keywords!$B$5:$B$165,MAX(ISNUMBER(SEARCH(Keywords!$A$5:$A$165,B225))*(Keywords!$A$5:$A$165&lt;&gt;"")*ROW(Keywords!$A$5:$A$165))-4),""))</f>
        <v/>
      </c>
      <c r="F225" s="150" t="str">
        <f aca="false">IF(B225="","",IF(L225="Transfer","Transfer",IF(L225="Income","Income",IF(D225&lt;&gt;"",D225,IF(E225&lt;&gt;"",E225,"Uncategorized")))))</f>
        <v/>
      </c>
      <c r="G225" s="108"/>
      <c r="H225" s="184" t="str">
        <f aca="false">IF(A225="","",DATE(YEAR(A225),MONTH(A225),1))</f>
        <v/>
      </c>
      <c r="I225" s="185"/>
      <c r="J225" s="144"/>
      <c r="K225" s="159" t="str">
        <f aca="false">IF(C225="","",N(C225)/IF(N225&lt;&gt;"",N225,IF(J225="",1,IFERROR(INDEX(Setup!$C$23:$C$46,MATCH(J225,Setup!$A$23:$A$46,0)),1))))</f>
        <v/>
      </c>
      <c r="L225" s="144"/>
      <c r="M225" s="108"/>
      <c r="N225" s="111"/>
      <c r="O225" s="156" t="str">
        <f aca="false">IF(OR(B225="",L225="Transfer"),"",IF(COUNTIFS($B$5:$B$604,B225,$H$5:$H$604,EDATE(H225,-1),$C$5:$C$604,"&gt;="&amp;C225*0.85,$C$5:$C$604,"&lt;="&amp;C225*1.15)&gt;0,"recurring",""))</f>
        <v/>
      </c>
      <c r="P225" s="157" t="str">
        <f aca="false">IF(B225="","",IF(COUNTIF(B225:$B$604,B225)=1,1,""))</f>
        <v/>
      </c>
      <c r="Q225" s="157" t="str">
        <f aca="false">IF(AND(O225="recurring",P225=1),COUNTIFS($O$5:O225,"recurring",$P$5:P225,1),"")</f>
        <v/>
      </c>
    </row>
    <row r="226" customFormat="false" ht="15" hidden="false" customHeight="false" outlineLevel="0" collapsed="false">
      <c r="A226" s="110"/>
      <c r="B226" s="108"/>
      <c r="C226" s="142"/>
      <c r="D226" s="108"/>
      <c r="E226" s="183" t="str">
        <f aca="false" t="array" ref="E226:E226">IF(B226="","",IFERROR(INDEX(Keywords!$B$5:$B$165,MAX(ISNUMBER(SEARCH(Keywords!$A$5:$A$165,B226))*(Keywords!$A$5:$A$165&lt;&gt;"")*ROW(Keywords!$A$5:$A$165))-4),""))</f>
        <v/>
      </c>
      <c r="F226" s="150" t="str">
        <f aca="false">IF(B226="","",IF(L226="Transfer","Transfer",IF(L226="Income","Income",IF(D226&lt;&gt;"",D226,IF(E226&lt;&gt;"",E226,"Uncategorized")))))</f>
        <v/>
      </c>
      <c r="G226" s="108"/>
      <c r="H226" s="184" t="str">
        <f aca="false">IF(A226="","",DATE(YEAR(A226),MONTH(A226),1))</f>
        <v/>
      </c>
      <c r="I226" s="185"/>
      <c r="J226" s="144"/>
      <c r="K226" s="159" t="str">
        <f aca="false">IF(C226="","",N(C226)/IF(N226&lt;&gt;"",N226,IF(J226="",1,IFERROR(INDEX(Setup!$C$23:$C$46,MATCH(J226,Setup!$A$23:$A$46,0)),1))))</f>
        <v/>
      </c>
      <c r="L226" s="144"/>
      <c r="M226" s="108"/>
      <c r="N226" s="111"/>
      <c r="O226" s="156" t="str">
        <f aca="false">IF(OR(B226="",L226="Transfer"),"",IF(COUNTIFS($B$5:$B$604,B226,$H$5:$H$604,EDATE(H226,-1),$C$5:$C$604,"&gt;="&amp;C226*0.85,$C$5:$C$604,"&lt;="&amp;C226*1.15)&gt;0,"recurring",""))</f>
        <v/>
      </c>
      <c r="P226" s="157" t="str">
        <f aca="false">IF(B226="","",IF(COUNTIF(B226:$B$604,B226)=1,1,""))</f>
        <v/>
      </c>
      <c r="Q226" s="157" t="str">
        <f aca="false">IF(AND(O226="recurring",P226=1),COUNTIFS($O$5:O226,"recurring",$P$5:P226,1),"")</f>
        <v/>
      </c>
    </row>
    <row r="227" customFormat="false" ht="15" hidden="false" customHeight="false" outlineLevel="0" collapsed="false">
      <c r="A227" s="110"/>
      <c r="B227" s="108"/>
      <c r="C227" s="142"/>
      <c r="D227" s="108"/>
      <c r="E227" s="183" t="str">
        <f aca="false" t="array" ref="E227:E227">IF(B227="","",IFERROR(INDEX(Keywords!$B$5:$B$165,MAX(ISNUMBER(SEARCH(Keywords!$A$5:$A$165,B227))*(Keywords!$A$5:$A$165&lt;&gt;"")*ROW(Keywords!$A$5:$A$165))-4),""))</f>
        <v/>
      </c>
      <c r="F227" s="150" t="str">
        <f aca="false">IF(B227="","",IF(L227="Transfer","Transfer",IF(L227="Income","Income",IF(D227&lt;&gt;"",D227,IF(E227&lt;&gt;"",E227,"Uncategorized")))))</f>
        <v/>
      </c>
      <c r="G227" s="108"/>
      <c r="H227" s="184" t="str">
        <f aca="false">IF(A227="","",DATE(YEAR(A227),MONTH(A227),1))</f>
        <v/>
      </c>
      <c r="I227" s="185"/>
      <c r="J227" s="144"/>
      <c r="K227" s="159" t="str">
        <f aca="false">IF(C227="","",N(C227)/IF(N227&lt;&gt;"",N227,IF(J227="",1,IFERROR(INDEX(Setup!$C$23:$C$46,MATCH(J227,Setup!$A$23:$A$46,0)),1))))</f>
        <v/>
      </c>
      <c r="L227" s="144"/>
      <c r="M227" s="108"/>
      <c r="N227" s="111"/>
      <c r="O227" s="156" t="str">
        <f aca="false">IF(OR(B227="",L227="Transfer"),"",IF(COUNTIFS($B$5:$B$604,B227,$H$5:$H$604,EDATE(H227,-1),$C$5:$C$604,"&gt;="&amp;C227*0.85,$C$5:$C$604,"&lt;="&amp;C227*1.15)&gt;0,"recurring",""))</f>
        <v/>
      </c>
      <c r="P227" s="157" t="str">
        <f aca="false">IF(B227="","",IF(COUNTIF(B227:$B$604,B227)=1,1,""))</f>
        <v/>
      </c>
      <c r="Q227" s="157" t="str">
        <f aca="false">IF(AND(O227="recurring",P227=1),COUNTIFS($O$5:O227,"recurring",$P$5:P227,1),"")</f>
        <v/>
      </c>
    </row>
    <row r="228" customFormat="false" ht="15" hidden="false" customHeight="false" outlineLevel="0" collapsed="false">
      <c r="A228" s="110"/>
      <c r="B228" s="108"/>
      <c r="C228" s="142"/>
      <c r="D228" s="108"/>
      <c r="E228" s="183" t="str">
        <f aca="false" t="array" ref="E228:E228">IF(B228="","",IFERROR(INDEX(Keywords!$B$5:$B$165,MAX(ISNUMBER(SEARCH(Keywords!$A$5:$A$165,B228))*(Keywords!$A$5:$A$165&lt;&gt;"")*ROW(Keywords!$A$5:$A$165))-4),""))</f>
        <v/>
      </c>
      <c r="F228" s="150" t="str">
        <f aca="false">IF(B228="","",IF(L228="Transfer","Transfer",IF(L228="Income","Income",IF(D228&lt;&gt;"",D228,IF(E228&lt;&gt;"",E228,"Uncategorized")))))</f>
        <v/>
      </c>
      <c r="G228" s="108"/>
      <c r="H228" s="184" t="str">
        <f aca="false">IF(A228="","",DATE(YEAR(A228),MONTH(A228),1))</f>
        <v/>
      </c>
      <c r="I228" s="185"/>
      <c r="J228" s="144"/>
      <c r="K228" s="159" t="str">
        <f aca="false">IF(C228="","",N(C228)/IF(N228&lt;&gt;"",N228,IF(J228="",1,IFERROR(INDEX(Setup!$C$23:$C$46,MATCH(J228,Setup!$A$23:$A$46,0)),1))))</f>
        <v/>
      </c>
      <c r="L228" s="144"/>
      <c r="M228" s="108"/>
      <c r="N228" s="111"/>
      <c r="O228" s="156" t="str">
        <f aca="false">IF(OR(B228="",L228="Transfer"),"",IF(COUNTIFS($B$5:$B$604,B228,$H$5:$H$604,EDATE(H228,-1),$C$5:$C$604,"&gt;="&amp;C228*0.85,$C$5:$C$604,"&lt;="&amp;C228*1.15)&gt;0,"recurring",""))</f>
        <v/>
      </c>
      <c r="P228" s="157" t="str">
        <f aca="false">IF(B228="","",IF(COUNTIF(B228:$B$604,B228)=1,1,""))</f>
        <v/>
      </c>
      <c r="Q228" s="157" t="str">
        <f aca="false">IF(AND(O228="recurring",P228=1),COUNTIFS($O$5:O228,"recurring",$P$5:P228,1),"")</f>
        <v/>
      </c>
    </row>
    <row r="229" customFormat="false" ht="15" hidden="false" customHeight="false" outlineLevel="0" collapsed="false">
      <c r="A229" s="110"/>
      <c r="B229" s="108"/>
      <c r="C229" s="142"/>
      <c r="D229" s="108"/>
      <c r="E229" s="183" t="str">
        <f aca="false" t="array" ref="E229:E229">IF(B229="","",IFERROR(INDEX(Keywords!$B$5:$B$165,MAX(ISNUMBER(SEARCH(Keywords!$A$5:$A$165,B229))*(Keywords!$A$5:$A$165&lt;&gt;"")*ROW(Keywords!$A$5:$A$165))-4),""))</f>
        <v/>
      </c>
      <c r="F229" s="150" t="str">
        <f aca="false">IF(B229="","",IF(L229="Transfer","Transfer",IF(L229="Income","Income",IF(D229&lt;&gt;"",D229,IF(E229&lt;&gt;"",E229,"Uncategorized")))))</f>
        <v/>
      </c>
      <c r="G229" s="108"/>
      <c r="H229" s="184" t="str">
        <f aca="false">IF(A229="","",DATE(YEAR(A229),MONTH(A229),1))</f>
        <v/>
      </c>
      <c r="I229" s="185"/>
      <c r="J229" s="144"/>
      <c r="K229" s="159" t="str">
        <f aca="false">IF(C229="","",N(C229)/IF(N229&lt;&gt;"",N229,IF(J229="",1,IFERROR(INDEX(Setup!$C$23:$C$46,MATCH(J229,Setup!$A$23:$A$46,0)),1))))</f>
        <v/>
      </c>
      <c r="L229" s="144"/>
      <c r="M229" s="108"/>
      <c r="N229" s="111"/>
      <c r="O229" s="156" t="str">
        <f aca="false">IF(OR(B229="",L229="Transfer"),"",IF(COUNTIFS($B$5:$B$604,B229,$H$5:$H$604,EDATE(H229,-1),$C$5:$C$604,"&gt;="&amp;C229*0.85,$C$5:$C$604,"&lt;="&amp;C229*1.15)&gt;0,"recurring",""))</f>
        <v/>
      </c>
      <c r="P229" s="157" t="str">
        <f aca="false">IF(B229="","",IF(COUNTIF(B229:$B$604,B229)=1,1,""))</f>
        <v/>
      </c>
      <c r="Q229" s="157" t="str">
        <f aca="false">IF(AND(O229="recurring",P229=1),COUNTIFS($O$5:O229,"recurring",$P$5:P229,1),"")</f>
        <v/>
      </c>
    </row>
    <row r="230" customFormat="false" ht="15" hidden="false" customHeight="false" outlineLevel="0" collapsed="false">
      <c r="A230" s="110"/>
      <c r="B230" s="108"/>
      <c r="C230" s="142"/>
      <c r="D230" s="108"/>
      <c r="E230" s="183" t="str">
        <f aca="false" t="array" ref="E230:E230">IF(B230="","",IFERROR(INDEX(Keywords!$B$5:$B$165,MAX(ISNUMBER(SEARCH(Keywords!$A$5:$A$165,B230))*(Keywords!$A$5:$A$165&lt;&gt;"")*ROW(Keywords!$A$5:$A$165))-4),""))</f>
        <v/>
      </c>
      <c r="F230" s="150" t="str">
        <f aca="false">IF(B230="","",IF(L230="Transfer","Transfer",IF(L230="Income","Income",IF(D230&lt;&gt;"",D230,IF(E230&lt;&gt;"",E230,"Uncategorized")))))</f>
        <v/>
      </c>
      <c r="G230" s="108"/>
      <c r="H230" s="184" t="str">
        <f aca="false">IF(A230="","",DATE(YEAR(A230),MONTH(A230),1))</f>
        <v/>
      </c>
      <c r="I230" s="185"/>
      <c r="J230" s="144"/>
      <c r="K230" s="159" t="str">
        <f aca="false">IF(C230="","",N(C230)/IF(N230&lt;&gt;"",N230,IF(J230="",1,IFERROR(INDEX(Setup!$C$23:$C$46,MATCH(J230,Setup!$A$23:$A$46,0)),1))))</f>
        <v/>
      </c>
      <c r="L230" s="144"/>
      <c r="M230" s="108"/>
      <c r="N230" s="111"/>
      <c r="O230" s="156" t="str">
        <f aca="false">IF(OR(B230="",L230="Transfer"),"",IF(COUNTIFS($B$5:$B$604,B230,$H$5:$H$604,EDATE(H230,-1),$C$5:$C$604,"&gt;="&amp;C230*0.85,$C$5:$C$604,"&lt;="&amp;C230*1.15)&gt;0,"recurring",""))</f>
        <v/>
      </c>
      <c r="P230" s="157" t="str">
        <f aca="false">IF(B230="","",IF(COUNTIF(B230:$B$604,B230)=1,1,""))</f>
        <v/>
      </c>
      <c r="Q230" s="157" t="str">
        <f aca="false">IF(AND(O230="recurring",P230=1),COUNTIFS($O$5:O230,"recurring",$P$5:P230,1),"")</f>
        <v/>
      </c>
    </row>
    <row r="231" customFormat="false" ht="15" hidden="false" customHeight="false" outlineLevel="0" collapsed="false">
      <c r="A231" s="110"/>
      <c r="B231" s="108"/>
      <c r="C231" s="142"/>
      <c r="D231" s="108"/>
      <c r="E231" s="183" t="str">
        <f aca="false" t="array" ref="E231:E231">IF(B231="","",IFERROR(INDEX(Keywords!$B$5:$B$165,MAX(ISNUMBER(SEARCH(Keywords!$A$5:$A$165,B231))*(Keywords!$A$5:$A$165&lt;&gt;"")*ROW(Keywords!$A$5:$A$165))-4),""))</f>
        <v/>
      </c>
      <c r="F231" s="150" t="str">
        <f aca="false">IF(B231="","",IF(L231="Transfer","Transfer",IF(L231="Income","Income",IF(D231&lt;&gt;"",D231,IF(E231&lt;&gt;"",E231,"Uncategorized")))))</f>
        <v/>
      </c>
      <c r="G231" s="108"/>
      <c r="H231" s="184" t="str">
        <f aca="false">IF(A231="","",DATE(YEAR(A231),MONTH(A231),1))</f>
        <v/>
      </c>
      <c r="I231" s="185"/>
      <c r="J231" s="144"/>
      <c r="K231" s="159" t="str">
        <f aca="false">IF(C231="","",N(C231)/IF(N231&lt;&gt;"",N231,IF(J231="",1,IFERROR(INDEX(Setup!$C$23:$C$46,MATCH(J231,Setup!$A$23:$A$46,0)),1))))</f>
        <v/>
      </c>
      <c r="L231" s="144"/>
      <c r="M231" s="108"/>
      <c r="N231" s="111"/>
      <c r="O231" s="156" t="str">
        <f aca="false">IF(OR(B231="",L231="Transfer"),"",IF(COUNTIFS($B$5:$B$604,B231,$H$5:$H$604,EDATE(H231,-1),$C$5:$C$604,"&gt;="&amp;C231*0.85,$C$5:$C$604,"&lt;="&amp;C231*1.15)&gt;0,"recurring",""))</f>
        <v/>
      </c>
      <c r="P231" s="157" t="str">
        <f aca="false">IF(B231="","",IF(COUNTIF(B231:$B$604,B231)=1,1,""))</f>
        <v/>
      </c>
      <c r="Q231" s="157" t="str">
        <f aca="false">IF(AND(O231="recurring",P231=1),COUNTIFS($O$5:O231,"recurring",$P$5:P231,1),"")</f>
        <v/>
      </c>
    </row>
    <row r="232" customFormat="false" ht="15" hidden="false" customHeight="false" outlineLevel="0" collapsed="false">
      <c r="A232" s="110"/>
      <c r="B232" s="108"/>
      <c r="C232" s="142"/>
      <c r="D232" s="108"/>
      <c r="E232" s="183" t="str">
        <f aca="false" t="array" ref="E232:E232">IF(B232="","",IFERROR(INDEX(Keywords!$B$5:$B$165,MAX(ISNUMBER(SEARCH(Keywords!$A$5:$A$165,B232))*(Keywords!$A$5:$A$165&lt;&gt;"")*ROW(Keywords!$A$5:$A$165))-4),""))</f>
        <v/>
      </c>
      <c r="F232" s="150" t="str">
        <f aca="false">IF(B232="","",IF(L232="Transfer","Transfer",IF(L232="Income","Income",IF(D232&lt;&gt;"",D232,IF(E232&lt;&gt;"",E232,"Uncategorized")))))</f>
        <v/>
      </c>
      <c r="G232" s="108"/>
      <c r="H232" s="184" t="str">
        <f aca="false">IF(A232="","",DATE(YEAR(A232),MONTH(A232),1))</f>
        <v/>
      </c>
      <c r="I232" s="185"/>
      <c r="J232" s="144"/>
      <c r="K232" s="159" t="str">
        <f aca="false">IF(C232="","",N(C232)/IF(N232&lt;&gt;"",N232,IF(J232="",1,IFERROR(INDEX(Setup!$C$23:$C$46,MATCH(J232,Setup!$A$23:$A$46,0)),1))))</f>
        <v/>
      </c>
      <c r="L232" s="144"/>
      <c r="M232" s="108"/>
      <c r="N232" s="111"/>
      <c r="O232" s="156" t="str">
        <f aca="false">IF(OR(B232="",L232="Transfer"),"",IF(COUNTIFS($B$5:$B$604,B232,$H$5:$H$604,EDATE(H232,-1),$C$5:$C$604,"&gt;="&amp;C232*0.85,$C$5:$C$604,"&lt;="&amp;C232*1.15)&gt;0,"recurring",""))</f>
        <v/>
      </c>
      <c r="P232" s="157" t="str">
        <f aca="false">IF(B232="","",IF(COUNTIF(B232:$B$604,B232)=1,1,""))</f>
        <v/>
      </c>
      <c r="Q232" s="157" t="str">
        <f aca="false">IF(AND(O232="recurring",P232=1),COUNTIFS($O$5:O232,"recurring",$P$5:P232,1),"")</f>
        <v/>
      </c>
    </row>
    <row r="233" customFormat="false" ht="15" hidden="false" customHeight="false" outlineLevel="0" collapsed="false">
      <c r="A233" s="110"/>
      <c r="B233" s="108"/>
      <c r="C233" s="142"/>
      <c r="D233" s="108"/>
      <c r="E233" s="183" t="str">
        <f aca="false" t="array" ref="E233:E233">IF(B233="","",IFERROR(INDEX(Keywords!$B$5:$B$165,MAX(ISNUMBER(SEARCH(Keywords!$A$5:$A$165,B233))*(Keywords!$A$5:$A$165&lt;&gt;"")*ROW(Keywords!$A$5:$A$165))-4),""))</f>
        <v/>
      </c>
      <c r="F233" s="150" t="str">
        <f aca="false">IF(B233="","",IF(L233="Transfer","Transfer",IF(L233="Income","Income",IF(D233&lt;&gt;"",D233,IF(E233&lt;&gt;"",E233,"Uncategorized")))))</f>
        <v/>
      </c>
      <c r="G233" s="108"/>
      <c r="H233" s="184" t="str">
        <f aca="false">IF(A233="","",DATE(YEAR(A233),MONTH(A233),1))</f>
        <v/>
      </c>
      <c r="I233" s="185"/>
      <c r="J233" s="144"/>
      <c r="K233" s="159" t="str">
        <f aca="false">IF(C233="","",N(C233)/IF(N233&lt;&gt;"",N233,IF(J233="",1,IFERROR(INDEX(Setup!$C$23:$C$46,MATCH(J233,Setup!$A$23:$A$46,0)),1))))</f>
        <v/>
      </c>
      <c r="L233" s="144"/>
      <c r="M233" s="108"/>
      <c r="N233" s="111"/>
      <c r="O233" s="156" t="str">
        <f aca="false">IF(OR(B233="",L233="Transfer"),"",IF(COUNTIFS($B$5:$B$604,B233,$H$5:$H$604,EDATE(H233,-1),$C$5:$C$604,"&gt;="&amp;C233*0.85,$C$5:$C$604,"&lt;="&amp;C233*1.15)&gt;0,"recurring",""))</f>
        <v/>
      </c>
      <c r="P233" s="157" t="str">
        <f aca="false">IF(B233="","",IF(COUNTIF(B233:$B$604,B233)=1,1,""))</f>
        <v/>
      </c>
      <c r="Q233" s="157" t="str">
        <f aca="false">IF(AND(O233="recurring",P233=1),COUNTIFS($O$5:O233,"recurring",$P$5:P233,1),"")</f>
        <v/>
      </c>
    </row>
    <row r="234" customFormat="false" ht="15" hidden="false" customHeight="false" outlineLevel="0" collapsed="false">
      <c r="A234" s="110"/>
      <c r="B234" s="108"/>
      <c r="C234" s="142"/>
      <c r="D234" s="108"/>
      <c r="E234" s="183" t="str">
        <f aca="false" t="array" ref="E234:E234">IF(B234="","",IFERROR(INDEX(Keywords!$B$5:$B$165,MAX(ISNUMBER(SEARCH(Keywords!$A$5:$A$165,B234))*(Keywords!$A$5:$A$165&lt;&gt;"")*ROW(Keywords!$A$5:$A$165))-4),""))</f>
        <v/>
      </c>
      <c r="F234" s="150" t="str">
        <f aca="false">IF(B234="","",IF(L234="Transfer","Transfer",IF(L234="Income","Income",IF(D234&lt;&gt;"",D234,IF(E234&lt;&gt;"",E234,"Uncategorized")))))</f>
        <v/>
      </c>
      <c r="G234" s="108"/>
      <c r="H234" s="184" t="str">
        <f aca="false">IF(A234="","",DATE(YEAR(A234),MONTH(A234),1))</f>
        <v/>
      </c>
      <c r="I234" s="185"/>
      <c r="J234" s="144"/>
      <c r="K234" s="159" t="str">
        <f aca="false">IF(C234="","",N(C234)/IF(N234&lt;&gt;"",N234,IF(J234="",1,IFERROR(INDEX(Setup!$C$23:$C$46,MATCH(J234,Setup!$A$23:$A$46,0)),1))))</f>
        <v/>
      </c>
      <c r="L234" s="144"/>
      <c r="M234" s="108"/>
      <c r="N234" s="111"/>
      <c r="O234" s="156" t="str">
        <f aca="false">IF(OR(B234="",L234="Transfer"),"",IF(COUNTIFS($B$5:$B$604,B234,$H$5:$H$604,EDATE(H234,-1),$C$5:$C$604,"&gt;="&amp;C234*0.85,$C$5:$C$604,"&lt;="&amp;C234*1.15)&gt;0,"recurring",""))</f>
        <v/>
      </c>
      <c r="P234" s="157" t="str">
        <f aca="false">IF(B234="","",IF(COUNTIF(B234:$B$604,B234)=1,1,""))</f>
        <v/>
      </c>
      <c r="Q234" s="157" t="str">
        <f aca="false">IF(AND(O234="recurring",P234=1),COUNTIFS($O$5:O234,"recurring",$P$5:P234,1),"")</f>
        <v/>
      </c>
    </row>
    <row r="235" customFormat="false" ht="15" hidden="false" customHeight="false" outlineLevel="0" collapsed="false">
      <c r="A235" s="110"/>
      <c r="B235" s="108"/>
      <c r="C235" s="142"/>
      <c r="D235" s="108"/>
      <c r="E235" s="183" t="str">
        <f aca="false" t="array" ref="E235:E235">IF(B235="","",IFERROR(INDEX(Keywords!$B$5:$B$165,MAX(ISNUMBER(SEARCH(Keywords!$A$5:$A$165,B235))*(Keywords!$A$5:$A$165&lt;&gt;"")*ROW(Keywords!$A$5:$A$165))-4),""))</f>
        <v/>
      </c>
      <c r="F235" s="150" t="str">
        <f aca="false">IF(B235="","",IF(L235="Transfer","Transfer",IF(L235="Income","Income",IF(D235&lt;&gt;"",D235,IF(E235&lt;&gt;"",E235,"Uncategorized")))))</f>
        <v/>
      </c>
      <c r="G235" s="108"/>
      <c r="H235" s="184" t="str">
        <f aca="false">IF(A235="","",DATE(YEAR(A235),MONTH(A235),1))</f>
        <v/>
      </c>
      <c r="I235" s="185"/>
      <c r="J235" s="144"/>
      <c r="K235" s="159" t="str">
        <f aca="false">IF(C235="","",N(C235)/IF(N235&lt;&gt;"",N235,IF(J235="",1,IFERROR(INDEX(Setup!$C$23:$C$46,MATCH(J235,Setup!$A$23:$A$46,0)),1))))</f>
        <v/>
      </c>
      <c r="L235" s="144"/>
      <c r="M235" s="108"/>
      <c r="N235" s="111"/>
      <c r="O235" s="156" t="str">
        <f aca="false">IF(OR(B235="",L235="Transfer"),"",IF(COUNTIFS($B$5:$B$604,B235,$H$5:$H$604,EDATE(H235,-1),$C$5:$C$604,"&gt;="&amp;C235*0.85,$C$5:$C$604,"&lt;="&amp;C235*1.15)&gt;0,"recurring",""))</f>
        <v/>
      </c>
      <c r="P235" s="157" t="str">
        <f aca="false">IF(B235="","",IF(COUNTIF(B235:$B$604,B235)=1,1,""))</f>
        <v/>
      </c>
      <c r="Q235" s="157" t="str">
        <f aca="false">IF(AND(O235="recurring",P235=1),COUNTIFS($O$5:O235,"recurring",$P$5:P235,1),"")</f>
        <v/>
      </c>
    </row>
    <row r="236" customFormat="false" ht="15" hidden="false" customHeight="false" outlineLevel="0" collapsed="false">
      <c r="A236" s="110"/>
      <c r="B236" s="108"/>
      <c r="C236" s="142"/>
      <c r="D236" s="108"/>
      <c r="E236" s="183" t="str">
        <f aca="false" t="array" ref="E236:E236">IF(B236="","",IFERROR(INDEX(Keywords!$B$5:$B$165,MAX(ISNUMBER(SEARCH(Keywords!$A$5:$A$165,B236))*(Keywords!$A$5:$A$165&lt;&gt;"")*ROW(Keywords!$A$5:$A$165))-4),""))</f>
        <v/>
      </c>
      <c r="F236" s="150" t="str">
        <f aca="false">IF(B236="","",IF(L236="Transfer","Transfer",IF(L236="Income","Income",IF(D236&lt;&gt;"",D236,IF(E236&lt;&gt;"",E236,"Uncategorized")))))</f>
        <v/>
      </c>
      <c r="G236" s="108"/>
      <c r="H236" s="184" t="str">
        <f aca="false">IF(A236="","",DATE(YEAR(A236),MONTH(A236),1))</f>
        <v/>
      </c>
      <c r="I236" s="185"/>
      <c r="J236" s="144"/>
      <c r="K236" s="159" t="str">
        <f aca="false">IF(C236="","",N(C236)/IF(N236&lt;&gt;"",N236,IF(J236="",1,IFERROR(INDEX(Setup!$C$23:$C$46,MATCH(J236,Setup!$A$23:$A$46,0)),1))))</f>
        <v/>
      </c>
      <c r="L236" s="144"/>
      <c r="M236" s="108"/>
      <c r="N236" s="111"/>
      <c r="O236" s="156" t="str">
        <f aca="false">IF(OR(B236="",L236="Transfer"),"",IF(COUNTIFS($B$5:$B$604,B236,$H$5:$H$604,EDATE(H236,-1),$C$5:$C$604,"&gt;="&amp;C236*0.85,$C$5:$C$604,"&lt;="&amp;C236*1.15)&gt;0,"recurring",""))</f>
        <v/>
      </c>
      <c r="P236" s="157" t="str">
        <f aca="false">IF(B236="","",IF(COUNTIF(B236:$B$604,B236)=1,1,""))</f>
        <v/>
      </c>
      <c r="Q236" s="157" t="str">
        <f aca="false">IF(AND(O236="recurring",P236=1),COUNTIFS($O$5:O236,"recurring",$P$5:P236,1),"")</f>
        <v/>
      </c>
    </row>
    <row r="237" customFormat="false" ht="15" hidden="false" customHeight="false" outlineLevel="0" collapsed="false">
      <c r="A237" s="110"/>
      <c r="B237" s="108"/>
      <c r="C237" s="142"/>
      <c r="D237" s="108"/>
      <c r="E237" s="183" t="str">
        <f aca="false" t="array" ref="E237:E237">IF(B237="","",IFERROR(INDEX(Keywords!$B$5:$B$165,MAX(ISNUMBER(SEARCH(Keywords!$A$5:$A$165,B237))*(Keywords!$A$5:$A$165&lt;&gt;"")*ROW(Keywords!$A$5:$A$165))-4),""))</f>
        <v/>
      </c>
      <c r="F237" s="150" t="str">
        <f aca="false">IF(B237="","",IF(L237="Transfer","Transfer",IF(L237="Income","Income",IF(D237&lt;&gt;"",D237,IF(E237&lt;&gt;"",E237,"Uncategorized")))))</f>
        <v/>
      </c>
      <c r="G237" s="108"/>
      <c r="H237" s="184" t="str">
        <f aca="false">IF(A237="","",DATE(YEAR(A237),MONTH(A237),1))</f>
        <v/>
      </c>
      <c r="I237" s="185"/>
      <c r="J237" s="144"/>
      <c r="K237" s="159" t="str">
        <f aca="false">IF(C237="","",N(C237)/IF(N237&lt;&gt;"",N237,IF(J237="",1,IFERROR(INDEX(Setup!$C$23:$C$46,MATCH(J237,Setup!$A$23:$A$46,0)),1))))</f>
        <v/>
      </c>
      <c r="L237" s="144"/>
      <c r="M237" s="108"/>
      <c r="N237" s="111"/>
      <c r="O237" s="156" t="str">
        <f aca="false">IF(OR(B237="",L237="Transfer"),"",IF(COUNTIFS($B$5:$B$604,B237,$H$5:$H$604,EDATE(H237,-1),$C$5:$C$604,"&gt;="&amp;C237*0.85,$C$5:$C$604,"&lt;="&amp;C237*1.15)&gt;0,"recurring",""))</f>
        <v/>
      </c>
      <c r="P237" s="157" t="str">
        <f aca="false">IF(B237="","",IF(COUNTIF(B237:$B$604,B237)=1,1,""))</f>
        <v/>
      </c>
      <c r="Q237" s="157" t="str">
        <f aca="false">IF(AND(O237="recurring",P237=1),COUNTIFS($O$5:O237,"recurring",$P$5:P237,1),"")</f>
        <v/>
      </c>
    </row>
    <row r="238" customFormat="false" ht="15" hidden="false" customHeight="false" outlineLevel="0" collapsed="false">
      <c r="A238" s="110"/>
      <c r="B238" s="108"/>
      <c r="C238" s="142"/>
      <c r="D238" s="108"/>
      <c r="E238" s="183" t="str">
        <f aca="false" t="array" ref="E238:E238">IF(B238="","",IFERROR(INDEX(Keywords!$B$5:$B$165,MAX(ISNUMBER(SEARCH(Keywords!$A$5:$A$165,B238))*(Keywords!$A$5:$A$165&lt;&gt;"")*ROW(Keywords!$A$5:$A$165))-4),""))</f>
        <v/>
      </c>
      <c r="F238" s="150" t="str">
        <f aca="false">IF(B238="","",IF(L238="Transfer","Transfer",IF(L238="Income","Income",IF(D238&lt;&gt;"",D238,IF(E238&lt;&gt;"",E238,"Uncategorized")))))</f>
        <v/>
      </c>
      <c r="G238" s="108"/>
      <c r="H238" s="184" t="str">
        <f aca="false">IF(A238="","",DATE(YEAR(A238),MONTH(A238),1))</f>
        <v/>
      </c>
      <c r="I238" s="185"/>
      <c r="J238" s="144"/>
      <c r="K238" s="159" t="str">
        <f aca="false">IF(C238="","",N(C238)/IF(N238&lt;&gt;"",N238,IF(J238="",1,IFERROR(INDEX(Setup!$C$23:$C$46,MATCH(J238,Setup!$A$23:$A$46,0)),1))))</f>
        <v/>
      </c>
      <c r="L238" s="144"/>
      <c r="M238" s="108"/>
      <c r="N238" s="111"/>
      <c r="O238" s="156" t="str">
        <f aca="false">IF(OR(B238="",L238="Transfer"),"",IF(COUNTIFS($B$5:$B$604,B238,$H$5:$H$604,EDATE(H238,-1),$C$5:$C$604,"&gt;="&amp;C238*0.85,$C$5:$C$604,"&lt;="&amp;C238*1.15)&gt;0,"recurring",""))</f>
        <v/>
      </c>
      <c r="P238" s="157" t="str">
        <f aca="false">IF(B238="","",IF(COUNTIF(B238:$B$604,B238)=1,1,""))</f>
        <v/>
      </c>
      <c r="Q238" s="157" t="str">
        <f aca="false">IF(AND(O238="recurring",P238=1),COUNTIFS($O$5:O238,"recurring",$P$5:P238,1),"")</f>
        <v/>
      </c>
    </row>
    <row r="239" customFormat="false" ht="15" hidden="false" customHeight="false" outlineLevel="0" collapsed="false">
      <c r="A239" s="110"/>
      <c r="B239" s="108"/>
      <c r="C239" s="142"/>
      <c r="D239" s="108"/>
      <c r="E239" s="183" t="str">
        <f aca="false" t="array" ref="E239:E239">IF(B239="","",IFERROR(INDEX(Keywords!$B$5:$B$165,MAX(ISNUMBER(SEARCH(Keywords!$A$5:$A$165,B239))*(Keywords!$A$5:$A$165&lt;&gt;"")*ROW(Keywords!$A$5:$A$165))-4),""))</f>
        <v/>
      </c>
      <c r="F239" s="150" t="str">
        <f aca="false">IF(B239="","",IF(L239="Transfer","Transfer",IF(L239="Income","Income",IF(D239&lt;&gt;"",D239,IF(E239&lt;&gt;"",E239,"Uncategorized")))))</f>
        <v/>
      </c>
      <c r="G239" s="108"/>
      <c r="H239" s="184" t="str">
        <f aca="false">IF(A239="","",DATE(YEAR(A239),MONTH(A239),1))</f>
        <v/>
      </c>
      <c r="I239" s="185"/>
      <c r="J239" s="144"/>
      <c r="K239" s="159" t="str">
        <f aca="false">IF(C239="","",N(C239)/IF(N239&lt;&gt;"",N239,IF(J239="",1,IFERROR(INDEX(Setup!$C$23:$C$46,MATCH(J239,Setup!$A$23:$A$46,0)),1))))</f>
        <v/>
      </c>
      <c r="L239" s="144"/>
      <c r="M239" s="108"/>
      <c r="N239" s="111"/>
      <c r="O239" s="156" t="str">
        <f aca="false">IF(OR(B239="",L239="Transfer"),"",IF(COUNTIFS($B$5:$B$604,B239,$H$5:$H$604,EDATE(H239,-1),$C$5:$C$604,"&gt;="&amp;C239*0.85,$C$5:$C$604,"&lt;="&amp;C239*1.15)&gt;0,"recurring",""))</f>
        <v/>
      </c>
      <c r="P239" s="157" t="str">
        <f aca="false">IF(B239="","",IF(COUNTIF(B239:$B$604,B239)=1,1,""))</f>
        <v/>
      </c>
      <c r="Q239" s="157" t="str">
        <f aca="false">IF(AND(O239="recurring",P239=1),COUNTIFS($O$5:O239,"recurring",$P$5:P239,1),"")</f>
        <v/>
      </c>
    </row>
    <row r="240" customFormat="false" ht="15" hidden="false" customHeight="false" outlineLevel="0" collapsed="false">
      <c r="A240" s="110"/>
      <c r="B240" s="108"/>
      <c r="C240" s="142"/>
      <c r="D240" s="108"/>
      <c r="E240" s="183" t="str">
        <f aca="false" t="array" ref="E240:E240">IF(B240="","",IFERROR(INDEX(Keywords!$B$5:$B$165,MAX(ISNUMBER(SEARCH(Keywords!$A$5:$A$165,B240))*(Keywords!$A$5:$A$165&lt;&gt;"")*ROW(Keywords!$A$5:$A$165))-4),""))</f>
        <v/>
      </c>
      <c r="F240" s="150" t="str">
        <f aca="false">IF(B240="","",IF(L240="Transfer","Transfer",IF(L240="Income","Income",IF(D240&lt;&gt;"",D240,IF(E240&lt;&gt;"",E240,"Uncategorized")))))</f>
        <v/>
      </c>
      <c r="G240" s="108"/>
      <c r="H240" s="184" t="str">
        <f aca="false">IF(A240="","",DATE(YEAR(A240),MONTH(A240),1))</f>
        <v/>
      </c>
      <c r="I240" s="185"/>
      <c r="J240" s="144"/>
      <c r="K240" s="159" t="str">
        <f aca="false">IF(C240="","",N(C240)/IF(N240&lt;&gt;"",N240,IF(J240="",1,IFERROR(INDEX(Setup!$C$23:$C$46,MATCH(J240,Setup!$A$23:$A$46,0)),1))))</f>
        <v/>
      </c>
      <c r="L240" s="144"/>
      <c r="M240" s="108"/>
      <c r="N240" s="111"/>
      <c r="O240" s="156" t="str">
        <f aca="false">IF(OR(B240="",L240="Transfer"),"",IF(COUNTIFS($B$5:$B$604,B240,$H$5:$H$604,EDATE(H240,-1),$C$5:$C$604,"&gt;="&amp;C240*0.85,$C$5:$C$604,"&lt;="&amp;C240*1.15)&gt;0,"recurring",""))</f>
        <v/>
      </c>
      <c r="P240" s="157" t="str">
        <f aca="false">IF(B240="","",IF(COUNTIF(B240:$B$604,B240)=1,1,""))</f>
        <v/>
      </c>
      <c r="Q240" s="157" t="str">
        <f aca="false">IF(AND(O240="recurring",P240=1),COUNTIFS($O$5:O240,"recurring",$P$5:P240,1),"")</f>
        <v/>
      </c>
    </row>
    <row r="241" customFormat="false" ht="15" hidden="false" customHeight="false" outlineLevel="0" collapsed="false">
      <c r="A241" s="110"/>
      <c r="B241" s="108"/>
      <c r="C241" s="142"/>
      <c r="D241" s="108"/>
      <c r="E241" s="183" t="str">
        <f aca="false" t="array" ref="E241:E241">IF(B241="","",IFERROR(INDEX(Keywords!$B$5:$B$165,MAX(ISNUMBER(SEARCH(Keywords!$A$5:$A$165,B241))*(Keywords!$A$5:$A$165&lt;&gt;"")*ROW(Keywords!$A$5:$A$165))-4),""))</f>
        <v/>
      </c>
      <c r="F241" s="150" t="str">
        <f aca="false">IF(B241="","",IF(L241="Transfer","Transfer",IF(L241="Income","Income",IF(D241&lt;&gt;"",D241,IF(E241&lt;&gt;"",E241,"Uncategorized")))))</f>
        <v/>
      </c>
      <c r="G241" s="108"/>
      <c r="H241" s="184" t="str">
        <f aca="false">IF(A241="","",DATE(YEAR(A241),MONTH(A241),1))</f>
        <v/>
      </c>
      <c r="I241" s="185"/>
      <c r="J241" s="144"/>
      <c r="K241" s="159" t="str">
        <f aca="false">IF(C241="","",N(C241)/IF(N241&lt;&gt;"",N241,IF(J241="",1,IFERROR(INDEX(Setup!$C$23:$C$46,MATCH(J241,Setup!$A$23:$A$46,0)),1))))</f>
        <v/>
      </c>
      <c r="L241" s="144"/>
      <c r="M241" s="108"/>
      <c r="N241" s="111"/>
      <c r="O241" s="156" t="str">
        <f aca="false">IF(OR(B241="",L241="Transfer"),"",IF(COUNTIFS($B$5:$B$604,B241,$H$5:$H$604,EDATE(H241,-1),$C$5:$C$604,"&gt;="&amp;C241*0.85,$C$5:$C$604,"&lt;="&amp;C241*1.15)&gt;0,"recurring",""))</f>
        <v/>
      </c>
      <c r="P241" s="157" t="str">
        <f aca="false">IF(B241="","",IF(COUNTIF(B241:$B$604,B241)=1,1,""))</f>
        <v/>
      </c>
      <c r="Q241" s="157" t="str">
        <f aca="false">IF(AND(O241="recurring",P241=1),COUNTIFS($O$5:O241,"recurring",$P$5:P241,1),"")</f>
        <v/>
      </c>
    </row>
    <row r="242" customFormat="false" ht="15" hidden="false" customHeight="false" outlineLevel="0" collapsed="false">
      <c r="A242" s="110"/>
      <c r="B242" s="108"/>
      <c r="C242" s="142"/>
      <c r="D242" s="108"/>
      <c r="E242" s="183" t="str">
        <f aca="false" t="array" ref="E242:E242">IF(B242="","",IFERROR(INDEX(Keywords!$B$5:$B$165,MAX(ISNUMBER(SEARCH(Keywords!$A$5:$A$165,B242))*(Keywords!$A$5:$A$165&lt;&gt;"")*ROW(Keywords!$A$5:$A$165))-4),""))</f>
        <v/>
      </c>
      <c r="F242" s="150" t="str">
        <f aca="false">IF(B242="","",IF(L242="Transfer","Transfer",IF(L242="Income","Income",IF(D242&lt;&gt;"",D242,IF(E242&lt;&gt;"",E242,"Uncategorized")))))</f>
        <v/>
      </c>
      <c r="G242" s="108"/>
      <c r="H242" s="184" t="str">
        <f aca="false">IF(A242="","",DATE(YEAR(A242),MONTH(A242),1))</f>
        <v/>
      </c>
      <c r="I242" s="185"/>
      <c r="J242" s="144"/>
      <c r="K242" s="159" t="str">
        <f aca="false">IF(C242="","",N(C242)/IF(N242&lt;&gt;"",N242,IF(J242="",1,IFERROR(INDEX(Setup!$C$23:$C$46,MATCH(J242,Setup!$A$23:$A$46,0)),1))))</f>
        <v/>
      </c>
      <c r="L242" s="144"/>
      <c r="M242" s="108"/>
      <c r="N242" s="111"/>
      <c r="O242" s="156" t="str">
        <f aca="false">IF(OR(B242="",L242="Transfer"),"",IF(COUNTIFS($B$5:$B$604,B242,$H$5:$H$604,EDATE(H242,-1),$C$5:$C$604,"&gt;="&amp;C242*0.85,$C$5:$C$604,"&lt;="&amp;C242*1.15)&gt;0,"recurring",""))</f>
        <v/>
      </c>
      <c r="P242" s="157" t="str">
        <f aca="false">IF(B242="","",IF(COUNTIF(B242:$B$604,B242)=1,1,""))</f>
        <v/>
      </c>
      <c r="Q242" s="157" t="str">
        <f aca="false">IF(AND(O242="recurring",P242=1),COUNTIFS($O$5:O242,"recurring",$P$5:P242,1),"")</f>
        <v/>
      </c>
    </row>
    <row r="243" customFormat="false" ht="15" hidden="false" customHeight="false" outlineLevel="0" collapsed="false">
      <c r="A243" s="110"/>
      <c r="B243" s="108"/>
      <c r="C243" s="142"/>
      <c r="D243" s="108"/>
      <c r="E243" s="183" t="str">
        <f aca="false" t="array" ref="E243:E243">IF(B243="","",IFERROR(INDEX(Keywords!$B$5:$B$165,MAX(ISNUMBER(SEARCH(Keywords!$A$5:$A$165,B243))*(Keywords!$A$5:$A$165&lt;&gt;"")*ROW(Keywords!$A$5:$A$165))-4),""))</f>
        <v/>
      </c>
      <c r="F243" s="150" t="str">
        <f aca="false">IF(B243="","",IF(L243="Transfer","Transfer",IF(L243="Income","Income",IF(D243&lt;&gt;"",D243,IF(E243&lt;&gt;"",E243,"Uncategorized")))))</f>
        <v/>
      </c>
      <c r="G243" s="108"/>
      <c r="H243" s="184" t="str">
        <f aca="false">IF(A243="","",DATE(YEAR(A243),MONTH(A243),1))</f>
        <v/>
      </c>
      <c r="I243" s="185"/>
      <c r="J243" s="144"/>
      <c r="K243" s="159" t="str">
        <f aca="false">IF(C243="","",N(C243)/IF(N243&lt;&gt;"",N243,IF(J243="",1,IFERROR(INDEX(Setup!$C$23:$C$46,MATCH(J243,Setup!$A$23:$A$46,0)),1))))</f>
        <v/>
      </c>
      <c r="L243" s="144"/>
      <c r="M243" s="108"/>
      <c r="N243" s="111"/>
      <c r="O243" s="156" t="str">
        <f aca="false">IF(OR(B243="",L243="Transfer"),"",IF(COUNTIFS($B$5:$B$604,B243,$H$5:$H$604,EDATE(H243,-1),$C$5:$C$604,"&gt;="&amp;C243*0.85,$C$5:$C$604,"&lt;="&amp;C243*1.15)&gt;0,"recurring",""))</f>
        <v/>
      </c>
      <c r="P243" s="157" t="str">
        <f aca="false">IF(B243="","",IF(COUNTIF(B243:$B$604,B243)=1,1,""))</f>
        <v/>
      </c>
      <c r="Q243" s="157" t="str">
        <f aca="false">IF(AND(O243="recurring",P243=1),COUNTIFS($O$5:O243,"recurring",$P$5:P243,1),"")</f>
        <v/>
      </c>
    </row>
    <row r="244" customFormat="false" ht="15" hidden="false" customHeight="false" outlineLevel="0" collapsed="false">
      <c r="A244" s="110"/>
      <c r="B244" s="108"/>
      <c r="C244" s="142"/>
      <c r="D244" s="108"/>
      <c r="E244" s="183" t="str">
        <f aca="false" t="array" ref="E244:E244">IF(B244="","",IFERROR(INDEX(Keywords!$B$5:$B$165,MAX(ISNUMBER(SEARCH(Keywords!$A$5:$A$165,B244))*(Keywords!$A$5:$A$165&lt;&gt;"")*ROW(Keywords!$A$5:$A$165))-4),""))</f>
        <v/>
      </c>
      <c r="F244" s="150" t="str">
        <f aca="false">IF(B244="","",IF(L244="Transfer","Transfer",IF(L244="Income","Income",IF(D244&lt;&gt;"",D244,IF(E244&lt;&gt;"",E244,"Uncategorized")))))</f>
        <v/>
      </c>
      <c r="G244" s="108"/>
      <c r="H244" s="184" t="str">
        <f aca="false">IF(A244="","",DATE(YEAR(A244),MONTH(A244),1))</f>
        <v/>
      </c>
      <c r="I244" s="185"/>
      <c r="J244" s="144"/>
      <c r="K244" s="159" t="str">
        <f aca="false">IF(C244="","",N(C244)/IF(N244&lt;&gt;"",N244,IF(J244="",1,IFERROR(INDEX(Setup!$C$23:$C$46,MATCH(J244,Setup!$A$23:$A$46,0)),1))))</f>
        <v/>
      </c>
      <c r="L244" s="144"/>
      <c r="M244" s="108"/>
      <c r="N244" s="111"/>
      <c r="O244" s="156" t="str">
        <f aca="false">IF(OR(B244="",L244="Transfer"),"",IF(COUNTIFS($B$5:$B$604,B244,$H$5:$H$604,EDATE(H244,-1),$C$5:$C$604,"&gt;="&amp;C244*0.85,$C$5:$C$604,"&lt;="&amp;C244*1.15)&gt;0,"recurring",""))</f>
        <v/>
      </c>
      <c r="P244" s="157" t="str">
        <f aca="false">IF(B244="","",IF(COUNTIF(B244:$B$604,B244)=1,1,""))</f>
        <v/>
      </c>
      <c r="Q244" s="157" t="str">
        <f aca="false">IF(AND(O244="recurring",P244=1),COUNTIFS($O$5:O244,"recurring",$P$5:P244,1),"")</f>
        <v/>
      </c>
    </row>
    <row r="245" customFormat="false" ht="15" hidden="false" customHeight="false" outlineLevel="0" collapsed="false">
      <c r="A245" s="110"/>
      <c r="B245" s="108"/>
      <c r="C245" s="142"/>
      <c r="D245" s="108"/>
      <c r="E245" s="183" t="str">
        <f aca="false" t="array" ref="E245:E245">IF(B245="","",IFERROR(INDEX(Keywords!$B$5:$B$165,MAX(ISNUMBER(SEARCH(Keywords!$A$5:$A$165,B245))*(Keywords!$A$5:$A$165&lt;&gt;"")*ROW(Keywords!$A$5:$A$165))-4),""))</f>
        <v/>
      </c>
      <c r="F245" s="150" t="str">
        <f aca="false">IF(B245="","",IF(L245="Transfer","Transfer",IF(L245="Income","Income",IF(D245&lt;&gt;"",D245,IF(E245&lt;&gt;"",E245,"Uncategorized")))))</f>
        <v/>
      </c>
      <c r="G245" s="108"/>
      <c r="H245" s="184" t="str">
        <f aca="false">IF(A245="","",DATE(YEAR(A245),MONTH(A245),1))</f>
        <v/>
      </c>
      <c r="I245" s="185"/>
      <c r="J245" s="144"/>
      <c r="K245" s="159" t="str">
        <f aca="false">IF(C245="","",N(C245)/IF(N245&lt;&gt;"",N245,IF(J245="",1,IFERROR(INDEX(Setup!$C$23:$C$46,MATCH(J245,Setup!$A$23:$A$46,0)),1))))</f>
        <v/>
      </c>
      <c r="L245" s="144"/>
      <c r="M245" s="108"/>
      <c r="N245" s="111"/>
      <c r="O245" s="156" t="str">
        <f aca="false">IF(OR(B245="",L245="Transfer"),"",IF(COUNTIFS($B$5:$B$604,B245,$H$5:$H$604,EDATE(H245,-1),$C$5:$C$604,"&gt;="&amp;C245*0.85,$C$5:$C$604,"&lt;="&amp;C245*1.15)&gt;0,"recurring",""))</f>
        <v/>
      </c>
      <c r="P245" s="157" t="str">
        <f aca="false">IF(B245="","",IF(COUNTIF(B245:$B$604,B245)=1,1,""))</f>
        <v/>
      </c>
      <c r="Q245" s="157" t="str">
        <f aca="false">IF(AND(O245="recurring",P245=1),COUNTIFS($O$5:O245,"recurring",$P$5:P245,1),"")</f>
        <v/>
      </c>
    </row>
    <row r="246" customFormat="false" ht="15" hidden="false" customHeight="false" outlineLevel="0" collapsed="false">
      <c r="A246" s="110"/>
      <c r="B246" s="108"/>
      <c r="C246" s="142"/>
      <c r="D246" s="108"/>
      <c r="E246" s="183" t="str">
        <f aca="false" t="array" ref="E246:E246">IF(B246="","",IFERROR(INDEX(Keywords!$B$5:$B$165,MAX(ISNUMBER(SEARCH(Keywords!$A$5:$A$165,B246))*(Keywords!$A$5:$A$165&lt;&gt;"")*ROW(Keywords!$A$5:$A$165))-4),""))</f>
        <v/>
      </c>
      <c r="F246" s="150" t="str">
        <f aca="false">IF(B246="","",IF(L246="Transfer","Transfer",IF(L246="Income","Income",IF(D246&lt;&gt;"",D246,IF(E246&lt;&gt;"",E246,"Uncategorized")))))</f>
        <v/>
      </c>
      <c r="G246" s="108"/>
      <c r="H246" s="184" t="str">
        <f aca="false">IF(A246="","",DATE(YEAR(A246),MONTH(A246),1))</f>
        <v/>
      </c>
      <c r="I246" s="185"/>
      <c r="J246" s="144"/>
      <c r="K246" s="159" t="str">
        <f aca="false">IF(C246="","",N(C246)/IF(N246&lt;&gt;"",N246,IF(J246="",1,IFERROR(INDEX(Setup!$C$23:$C$46,MATCH(J246,Setup!$A$23:$A$46,0)),1))))</f>
        <v/>
      </c>
      <c r="L246" s="144"/>
      <c r="M246" s="108"/>
      <c r="N246" s="111"/>
      <c r="O246" s="156" t="str">
        <f aca="false">IF(OR(B246="",L246="Transfer"),"",IF(COUNTIFS($B$5:$B$604,B246,$H$5:$H$604,EDATE(H246,-1),$C$5:$C$604,"&gt;="&amp;C246*0.85,$C$5:$C$604,"&lt;="&amp;C246*1.15)&gt;0,"recurring",""))</f>
        <v/>
      </c>
      <c r="P246" s="157" t="str">
        <f aca="false">IF(B246="","",IF(COUNTIF(B246:$B$604,B246)=1,1,""))</f>
        <v/>
      </c>
      <c r="Q246" s="157" t="str">
        <f aca="false">IF(AND(O246="recurring",P246=1),COUNTIFS($O$5:O246,"recurring",$P$5:P246,1),"")</f>
        <v/>
      </c>
    </row>
    <row r="247" customFormat="false" ht="15" hidden="false" customHeight="false" outlineLevel="0" collapsed="false">
      <c r="A247" s="110"/>
      <c r="B247" s="108"/>
      <c r="C247" s="142"/>
      <c r="D247" s="108"/>
      <c r="E247" s="183" t="str">
        <f aca="false" t="array" ref="E247:E247">IF(B247="","",IFERROR(INDEX(Keywords!$B$5:$B$165,MAX(ISNUMBER(SEARCH(Keywords!$A$5:$A$165,B247))*(Keywords!$A$5:$A$165&lt;&gt;"")*ROW(Keywords!$A$5:$A$165))-4),""))</f>
        <v/>
      </c>
      <c r="F247" s="150" t="str">
        <f aca="false">IF(B247="","",IF(L247="Transfer","Transfer",IF(L247="Income","Income",IF(D247&lt;&gt;"",D247,IF(E247&lt;&gt;"",E247,"Uncategorized")))))</f>
        <v/>
      </c>
      <c r="G247" s="108"/>
      <c r="H247" s="184" t="str">
        <f aca="false">IF(A247="","",DATE(YEAR(A247),MONTH(A247),1))</f>
        <v/>
      </c>
      <c r="I247" s="185"/>
      <c r="J247" s="144"/>
      <c r="K247" s="159" t="str">
        <f aca="false">IF(C247="","",N(C247)/IF(N247&lt;&gt;"",N247,IF(J247="",1,IFERROR(INDEX(Setup!$C$23:$C$46,MATCH(J247,Setup!$A$23:$A$46,0)),1))))</f>
        <v/>
      </c>
      <c r="L247" s="144"/>
      <c r="M247" s="108"/>
      <c r="N247" s="111"/>
      <c r="O247" s="156" t="str">
        <f aca="false">IF(OR(B247="",L247="Transfer"),"",IF(COUNTIFS($B$5:$B$604,B247,$H$5:$H$604,EDATE(H247,-1),$C$5:$C$604,"&gt;="&amp;C247*0.85,$C$5:$C$604,"&lt;="&amp;C247*1.15)&gt;0,"recurring",""))</f>
        <v/>
      </c>
      <c r="P247" s="157" t="str">
        <f aca="false">IF(B247="","",IF(COUNTIF(B247:$B$604,B247)=1,1,""))</f>
        <v/>
      </c>
      <c r="Q247" s="157" t="str">
        <f aca="false">IF(AND(O247="recurring",P247=1),COUNTIFS($O$5:O247,"recurring",$P$5:P247,1),"")</f>
        <v/>
      </c>
    </row>
    <row r="248" customFormat="false" ht="15" hidden="false" customHeight="false" outlineLevel="0" collapsed="false">
      <c r="A248" s="110"/>
      <c r="B248" s="108"/>
      <c r="C248" s="142"/>
      <c r="D248" s="108"/>
      <c r="E248" s="183" t="str">
        <f aca="false" t="array" ref="E248:E248">IF(B248="","",IFERROR(INDEX(Keywords!$B$5:$B$165,MAX(ISNUMBER(SEARCH(Keywords!$A$5:$A$165,B248))*(Keywords!$A$5:$A$165&lt;&gt;"")*ROW(Keywords!$A$5:$A$165))-4),""))</f>
        <v/>
      </c>
      <c r="F248" s="150" t="str">
        <f aca="false">IF(B248="","",IF(L248="Transfer","Transfer",IF(L248="Income","Income",IF(D248&lt;&gt;"",D248,IF(E248&lt;&gt;"",E248,"Uncategorized")))))</f>
        <v/>
      </c>
      <c r="G248" s="108"/>
      <c r="H248" s="184" t="str">
        <f aca="false">IF(A248="","",DATE(YEAR(A248),MONTH(A248),1))</f>
        <v/>
      </c>
      <c r="I248" s="185"/>
      <c r="J248" s="144"/>
      <c r="K248" s="159" t="str">
        <f aca="false">IF(C248="","",N(C248)/IF(N248&lt;&gt;"",N248,IF(J248="",1,IFERROR(INDEX(Setup!$C$23:$C$46,MATCH(J248,Setup!$A$23:$A$46,0)),1))))</f>
        <v/>
      </c>
      <c r="L248" s="144"/>
      <c r="M248" s="108"/>
      <c r="N248" s="111"/>
      <c r="O248" s="156" t="str">
        <f aca="false">IF(OR(B248="",L248="Transfer"),"",IF(COUNTIFS($B$5:$B$604,B248,$H$5:$H$604,EDATE(H248,-1),$C$5:$C$604,"&gt;="&amp;C248*0.85,$C$5:$C$604,"&lt;="&amp;C248*1.15)&gt;0,"recurring",""))</f>
        <v/>
      </c>
      <c r="P248" s="157" t="str">
        <f aca="false">IF(B248="","",IF(COUNTIF(B248:$B$604,B248)=1,1,""))</f>
        <v/>
      </c>
      <c r="Q248" s="157" t="str">
        <f aca="false">IF(AND(O248="recurring",P248=1),COUNTIFS($O$5:O248,"recurring",$P$5:P248,1),"")</f>
        <v/>
      </c>
    </row>
    <row r="249" customFormat="false" ht="15" hidden="false" customHeight="false" outlineLevel="0" collapsed="false">
      <c r="A249" s="110"/>
      <c r="B249" s="108"/>
      <c r="C249" s="142"/>
      <c r="D249" s="108"/>
      <c r="E249" s="183" t="str">
        <f aca="false" t="array" ref="E249:E249">IF(B249="","",IFERROR(INDEX(Keywords!$B$5:$B$165,MAX(ISNUMBER(SEARCH(Keywords!$A$5:$A$165,B249))*(Keywords!$A$5:$A$165&lt;&gt;"")*ROW(Keywords!$A$5:$A$165))-4),""))</f>
        <v/>
      </c>
      <c r="F249" s="150" t="str">
        <f aca="false">IF(B249="","",IF(L249="Transfer","Transfer",IF(L249="Income","Income",IF(D249&lt;&gt;"",D249,IF(E249&lt;&gt;"",E249,"Uncategorized")))))</f>
        <v/>
      </c>
      <c r="G249" s="108"/>
      <c r="H249" s="184" t="str">
        <f aca="false">IF(A249="","",DATE(YEAR(A249),MONTH(A249),1))</f>
        <v/>
      </c>
      <c r="I249" s="185"/>
      <c r="J249" s="144"/>
      <c r="K249" s="159" t="str">
        <f aca="false">IF(C249="","",N(C249)/IF(N249&lt;&gt;"",N249,IF(J249="",1,IFERROR(INDEX(Setup!$C$23:$C$46,MATCH(J249,Setup!$A$23:$A$46,0)),1))))</f>
        <v/>
      </c>
      <c r="L249" s="144"/>
      <c r="M249" s="108"/>
      <c r="N249" s="111"/>
      <c r="O249" s="156" t="str">
        <f aca="false">IF(OR(B249="",L249="Transfer"),"",IF(COUNTIFS($B$5:$B$604,B249,$H$5:$H$604,EDATE(H249,-1),$C$5:$C$604,"&gt;="&amp;C249*0.85,$C$5:$C$604,"&lt;="&amp;C249*1.15)&gt;0,"recurring",""))</f>
        <v/>
      </c>
      <c r="P249" s="157" t="str">
        <f aca="false">IF(B249="","",IF(COUNTIF(B249:$B$604,B249)=1,1,""))</f>
        <v/>
      </c>
      <c r="Q249" s="157" t="str">
        <f aca="false">IF(AND(O249="recurring",P249=1),COUNTIFS($O$5:O249,"recurring",$P$5:P249,1),"")</f>
        <v/>
      </c>
    </row>
    <row r="250" customFormat="false" ht="15" hidden="false" customHeight="false" outlineLevel="0" collapsed="false">
      <c r="A250" s="110"/>
      <c r="B250" s="108"/>
      <c r="C250" s="142"/>
      <c r="D250" s="108"/>
      <c r="E250" s="183" t="str">
        <f aca="false" t="array" ref="E250:E250">IF(B250="","",IFERROR(INDEX(Keywords!$B$5:$B$165,MAX(ISNUMBER(SEARCH(Keywords!$A$5:$A$165,B250))*(Keywords!$A$5:$A$165&lt;&gt;"")*ROW(Keywords!$A$5:$A$165))-4),""))</f>
        <v/>
      </c>
      <c r="F250" s="150" t="str">
        <f aca="false">IF(B250="","",IF(L250="Transfer","Transfer",IF(L250="Income","Income",IF(D250&lt;&gt;"",D250,IF(E250&lt;&gt;"",E250,"Uncategorized")))))</f>
        <v/>
      </c>
      <c r="G250" s="108"/>
      <c r="H250" s="184" t="str">
        <f aca="false">IF(A250="","",DATE(YEAR(A250),MONTH(A250),1))</f>
        <v/>
      </c>
      <c r="I250" s="185"/>
      <c r="J250" s="144"/>
      <c r="K250" s="159" t="str">
        <f aca="false">IF(C250="","",N(C250)/IF(N250&lt;&gt;"",N250,IF(J250="",1,IFERROR(INDEX(Setup!$C$23:$C$46,MATCH(J250,Setup!$A$23:$A$46,0)),1))))</f>
        <v/>
      </c>
      <c r="L250" s="144"/>
      <c r="M250" s="108"/>
      <c r="N250" s="111"/>
      <c r="O250" s="156" t="str">
        <f aca="false">IF(OR(B250="",L250="Transfer"),"",IF(COUNTIFS($B$5:$B$604,B250,$H$5:$H$604,EDATE(H250,-1),$C$5:$C$604,"&gt;="&amp;C250*0.85,$C$5:$C$604,"&lt;="&amp;C250*1.15)&gt;0,"recurring",""))</f>
        <v/>
      </c>
      <c r="P250" s="157" t="str">
        <f aca="false">IF(B250="","",IF(COUNTIF(B250:$B$604,B250)=1,1,""))</f>
        <v/>
      </c>
      <c r="Q250" s="157" t="str">
        <f aca="false">IF(AND(O250="recurring",P250=1),COUNTIFS($O$5:O250,"recurring",$P$5:P250,1),"")</f>
        <v/>
      </c>
    </row>
    <row r="251" customFormat="false" ht="15" hidden="false" customHeight="false" outlineLevel="0" collapsed="false">
      <c r="A251" s="110"/>
      <c r="B251" s="108"/>
      <c r="C251" s="142"/>
      <c r="D251" s="108"/>
      <c r="E251" s="183" t="str">
        <f aca="false" t="array" ref="E251:E251">IF(B251="","",IFERROR(INDEX(Keywords!$B$5:$B$165,MAX(ISNUMBER(SEARCH(Keywords!$A$5:$A$165,B251))*(Keywords!$A$5:$A$165&lt;&gt;"")*ROW(Keywords!$A$5:$A$165))-4),""))</f>
        <v/>
      </c>
      <c r="F251" s="150" t="str">
        <f aca="false">IF(B251="","",IF(L251="Transfer","Transfer",IF(L251="Income","Income",IF(D251&lt;&gt;"",D251,IF(E251&lt;&gt;"",E251,"Uncategorized")))))</f>
        <v/>
      </c>
      <c r="G251" s="108"/>
      <c r="H251" s="184" t="str">
        <f aca="false">IF(A251="","",DATE(YEAR(A251),MONTH(A251),1))</f>
        <v/>
      </c>
      <c r="I251" s="185"/>
      <c r="J251" s="144"/>
      <c r="K251" s="159" t="str">
        <f aca="false">IF(C251="","",N(C251)/IF(N251&lt;&gt;"",N251,IF(J251="",1,IFERROR(INDEX(Setup!$C$23:$C$46,MATCH(J251,Setup!$A$23:$A$46,0)),1))))</f>
        <v/>
      </c>
      <c r="L251" s="144"/>
      <c r="M251" s="108"/>
      <c r="N251" s="111"/>
      <c r="O251" s="156" t="str">
        <f aca="false">IF(OR(B251="",L251="Transfer"),"",IF(COUNTIFS($B$5:$B$604,B251,$H$5:$H$604,EDATE(H251,-1),$C$5:$C$604,"&gt;="&amp;C251*0.85,$C$5:$C$604,"&lt;="&amp;C251*1.15)&gt;0,"recurring",""))</f>
        <v/>
      </c>
      <c r="P251" s="157" t="str">
        <f aca="false">IF(B251="","",IF(COUNTIF(B251:$B$604,B251)=1,1,""))</f>
        <v/>
      </c>
      <c r="Q251" s="157" t="str">
        <f aca="false">IF(AND(O251="recurring",P251=1),COUNTIFS($O$5:O251,"recurring",$P$5:P251,1),"")</f>
        <v/>
      </c>
    </row>
    <row r="252" customFormat="false" ht="15" hidden="false" customHeight="false" outlineLevel="0" collapsed="false">
      <c r="A252" s="110"/>
      <c r="B252" s="108"/>
      <c r="C252" s="142"/>
      <c r="D252" s="108"/>
      <c r="E252" s="183" t="str">
        <f aca="false" t="array" ref="E252:E252">IF(B252="","",IFERROR(INDEX(Keywords!$B$5:$B$165,MAX(ISNUMBER(SEARCH(Keywords!$A$5:$A$165,B252))*(Keywords!$A$5:$A$165&lt;&gt;"")*ROW(Keywords!$A$5:$A$165))-4),""))</f>
        <v/>
      </c>
      <c r="F252" s="150" t="str">
        <f aca="false">IF(B252="","",IF(L252="Transfer","Transfer",IF(L252="Income","Income",IF(D252&lt;&gt;"",D252,IF(E252&lt;&gt;"",E252,"Uncategorized")))))</f>
        <v/>
      </c>
      <c r="G252" s="108"/>
      <c r="H252" s="184" t="str">
        <f aca="false">IF(A252="","",DATE(YEAR(A252),MONTH(A252),1))</f>
        <v/>
      </c>
      <c r="I252" s="185"/>
      <c r="J252" s="144"/>
      <c r="K252" s="159" t="str">
        <f aca="false">IF(C252="","",N(C252)/IF(N252&lt;&gt;"",N252,IF(J252="",1,IFERROR(INDEX(Setup!$C$23:$C$46,MATCH(J252,Setup!$A$23:$A$46,0)),1))))</f>
        <v/>
      </c>
      <c r="L252" s="144"/>
      <c r="M252" s="108"/>
      <c r="N252" s="111"/>
      <c r="O252" s="156" t="str">
        <f aca="false">IF(OR(B252="",L252="Transfer"),"",IF(COUNTIFS($B$5:$B$604,B252,$H$5:$H$604,EDATE(H252,-1),$C$5:$C$604,"&gt;="&amp;C252*0.85,$C$5:$C$604,"&lt;="&amp;C252*1.15)&gt;0,"recurring",""))</f>
        <v/>
      </c>
      <c r="P252" s="157" t="str">
        <f aca="false">IF(B252="","",IF(COUNTIF(B252:$B$604,B252)=1,1,""))</f>
        <v/>
      </c>
      <c r="Q252" s="157" t="str">
        <f aca="false">IF(AND(O252="recurring",P252=1),COUNTIFS($O$5:O252,"recurring",$P$5:P252,1),"")</f>
        <v/>
      </c>
    </row>
    <row r="253" customFormat="false" ht="15" hidden="false" customHeight="false" outlineLevel="0" collapsed="false">
      <c r="A253" s="110"/>
      <c r="B253" s="108"/>
      <c r="C253" s="142"/>
      <c r="D253" s="108"/>
      <c r="E253" s="183" t="str">
        <f aca="false" t="array" ref="E253:E253">IF(B253="","",IFERROR(INDEX(Keywords!$B$5:$B$165,MAX(ISNUMBER(SEARCH(Keywords!$A$5:$A$165,B253))*(Keywords!$A$5:$A$165&lt;&gt;"")*ROW(Keywords!$A$5:$A$165))-4),""))</f>
        <v/>
      </c>
      <c r="F253" s="150" t="str">
        <f aca="false">IF(B253="","",IF(L253="Transfer","Transfer",IF(L253="Income","Income",IF(D253&lt;&gt;"",D253,IF(E253&lt;&gt;"",E253,"Uncategorized")))))</f>
        <v/>
      </c>
      <c r="G253" s="108"/>
      <c r="H253" s="184" t="str">
        <f aca="false">IF(A253="","",DATE(YEAR(A253),MONTH(A253),1))</f>
        <v/>
      </c>
      <c r="I253" s="185"/>
      <c r="J253" s="144"/>
      <c r="K253" s="159" t="str">
        <f aca="false">IF(C253="","",N(C253)/IF(N253&lt;&gt;"",N253,IF(J253="",1,IFERROR(INDEX(Setup!$C$23:$C$46,MATCH(J253,Setup!$A$23:$A$46,0)),1))))</f>
        <v/>
      </c>
      <c r="L253" s="144"/>
      <c r="M253" s="108"/>
      <c r="N253" s="111"/>
      <c r="O253" s="156" t="str">
        <f aca="false">IF(OR(B253="",L253="Transfer"),"",IF(COUNTIFS($B$5:$B$604,B253,$H$5:$H$604,EDATE(H253,-1),$C$5:$C$604,"&gt;="&amp;C253*0.85,$C$5:$C$604,"&lt;="&amp;C253*1.15)&gt;0,"recurring",""))</f>
        <v/>
      </c>
      <c r="P253" s="157" t="str">
        <f aca="false">IF(B253="","",IF(COUNTIF(B253:$B$604,B253)=1,1,""))</f>
        <v/>
      </c>
      <c r="Q253" s="157" t="str">
        <f aca="false">IF(AND(O253="recurring",P253=1),COUNTIFS($O$5:O253,"recurring",$P$5:P253,1),"")</f>
        <v/>
      </c>
    </row>
    <row r="254" customFormat="false" ht="15" hidden="false" customHeight="false" outlineLevel="0" collapsed="false">
      <c r="A254" s="110"/>
      <c r="B254" s="108"/>
      <c r="C254" s="142"/>
      <c r="D254" s="108"/>
      <c r="E254" s="183" t="str">
        <f aca="false" t="array" ref="E254:E254">IF(B254="","",IFERROR(INDEX(Keywords!$B$5:$B$165,MAX(ISNUMBER(SEARCH(Keywords!$A$5:$A$165,B254))*(Keywords!$A$5:$A$165&lt;&gt;"")*ROW(Keywords!$A$5:$A$165))-4),""))</f>
        <v/>
      </c>
      <c r="F254" s="150" t="str">
        <f aca="false">IF(B254="","",IF(L254="Transfer","Transfer",IF(L254="Income","Income",IF(D254&lt;&gt;"",D254,IF(E254&lt;&gt;"",E254,"Uncategorized")))))</f>
        <v/>
      </c>
      <c r="G254" s="108"/>
      <c r="H254" s="184" t="str">
        <f aca="false">IF(A254="","",DATE(YEAR(A254),MONTH(A254),1))</f>
        <v/>
      </c>
      <c r="I254" s="185"/>
      <c r="J254" s="144"/>
      <c r="K254" s="159" t="str">
        <f aca="false">IF(C254="","",N(C254)/IF(N254&lt;&gt;"",N254,IF(J254="",1,IFERROR(INDEX(Setup!$C$23:$C$46,MATCH(J254,Setup!$A$23:$A$46,0)),1))))</f>
        <v/>
      </c>
      <c r="L254" s="144"/>
      <c r="M254" s="108"/>
      <c r="N254" s="111"/>
      <c r="O254" s="156" t="str">
        <f aca="false">IF(OR(B254="",L254="Transfer"),"",IF(COUNTIFS($B$5:$B$604,B254,$H$5:$H$604,EDATE(H254,-1),$C$5:$C$604,"&gt;="&amp;C254*0.85,$C$5:$C$604,"&lt;="&amp;C254*1.15)&gt;0,"recurring",""))</f>
        <v/>
      </c>
      <c r="P254" s="157" t="str">
        <f aca="false">IF(B254="","",IF(COUNTIF(B254:$B$604,B254)=1,1,""))</f>
        <v/>
      </c>
      <c r="Q254" s="157" t="str">
        <f aca="false">IF(AND(O254="recurring",P254=1),COUNTIFS($O$5:O254,"recurring",$P$5:P254,1),"")</f>
        <v/>
      </c>
    </row>
    <row r="255" customFormat="false" ht="15" hidden="false" customHeight="false" outlineLevel="0" collapsed="false">
      <c r="A255" s="110"/>
      <c r="B255" s="108"/>
      <c r="C255" s="142"/>
      <c r="D255" s="108"/>
      <c r="E255" s="183" t="str">
        <f aca="false" t="array" ref="E255:E255">IF(B255="","",IFERROR(INDEX(Keywords!$B$5:$B$165,MAX(ISNUMBER(SEARCH(Keywords!$A$5:$A$165,B255))*(Keywords!$A$5:$A$165&lt;&gt;"")*ROW(Keywords!$A$5:$A$165))-4),""))</f>
        <v/>
      </c>
      <c r="F255" s="150" t="str">
        <f aca="false">IF(B255="","",IF(L255="Transfer","Transfer",IF(L255="Income","Income",IF(D255&lt;&gt;"",D255,IF(E255&lt;&gt;"",E255,"Uncategorized")))))</f>
        <v/>
      </c>
      <c r="G255" s="108"/>
      <c r="H255" s="184" t="str">
        <f aca="false">IF(A255="","",DATE(YEAR(A255),MONTH(A255),1))</f>
        <v/>
      </c>
      <c r="I255" s="185"/>
      <c r="J255" s="144"/>
      <c r="K255" s="159" t="str">
        <f aca="false">IF(C255="","",N(C255)/IF(N255&lt;&gt;"",N255,IF(J255="",1,IFERROR(INDEX(Setup!$C$23:$C$46,MATCH(J255,Setup!$A$23:$A$46,0)),1))))</f>
        <v/>
      </c>
      <c r="L255" s="144"/>
      <c r="M255" s="108"/>
      <c r="N255" s="111"/>
      <c r="O255" s="156" t="str">
        <f aca="false">IF(OR(B255="",L255="Transfer"),"",IF(COUNTIFS($B$5:$B$604,B255,$H$5:$H$604,EDATE(H255,-1),$C$5:$C$604,"&gt;="&amp;C255*0.85,$C$5:$C$604,"&lt;="&amp;C255*1.15)&gt;0,"recurring",""))</f>
        <v/>
      </c>
      <c r="P255" s="157" t="str">
        <f aca="false">IF(B255="","",IF(COUNTIF(B255:$B$604,B255)=1,1,""))</f>
        <v/>
      </c>
      <c r="Q255" s="157" t="str">
        <f aca="false">IF(AND(O255="recurring",P255=1),COUNTIFS($O$5:O255,"recurring",$P$5:P255,1),"")</f>
        <v/>
      </c>
    </row>
    <row r="256" customFormat="false" ht="15" hidden="false" customHeight="false" outlineLevel="0" collapsed="false">
      <c r="A256" s="110"/>
      <c r="B256" s="108"/>
      <c r="C256" s="142"/>
      <c r="D256" s="108"/>
      <c r="E256" s="183" t="str">
        <f aca="false" t="array" ref="E256:E256">IF(B256="","",IFERROR(INDEX(Keywords!$B$5:$B$165,MAX(ISNUMBER(SEARCH(Keywords!$A$5:$A$165,B256))*(Keywords!$A$5:$A$165&lt;&gt;"")*ROW(Keywords!$A$5:$A$165))-4),""))</f>
        <v/>
      </c>
      <c r="F256" s="150" t="str">
        <f aca="false">IF(B256="","",IF(L256="Transfer","Transfer",IF(L256="Income","Income",IF(D256&lt;&gt;"",D256,IF(E256&lt;&gt;"",E256,"Uncategorized")))))</f>
        <v/>
      </c>
      <c r="G256" s="108"/>
      <c r="H256" s="184" t="str">
        <f aca="false">IF(A256="","",DATE(YEAR(A256),MONTH(A256),1))</f>
        <v/>
      </c>
      <c r="I256" s="185"/>
      <c r="J256" s="144"/>
      <c r="K256" s="159" t="str">
        <f aca="false">IF(C256="","",N(C256)/IF(N256&lt;&gt;"",N256,IF(J256="",1,IFERROR(INDEX(Setup!$C$23:$C$46,MATCH(J256,Setup!$A$23:$A$46,0)),1))))</f>
        <v/>
      </c>
      <c r="L256" s="144"/>
      <c r="M256" s="108"/>
      <c r="N256" s="111"/>
      <c r="O256" s="156" t="str">
        <f aca="false">IF(OR(B256="",L256="Transfer"),"",IF(COUNTIFS($B$5:$B$604,B256,$H$5:$H$604,EDATE(H256,-1),$C$5:$C$604,"&gt;="&amp;C256*0.85,$C$5:$C$604,"&lt;="&amp;C256*1.15)&gt;0,"recurring",""))</f>
        <v/>
      </c>
      <c r="P256" s="157" t="str">
        <f aca="false">IF(B256="","",IF(COUNTIF(B256:$B$604,B256)=1,1,""))</f>
        <v/>
      </c>
      <c r="Q256" s="157" t="str">
        <f aca="false">IF(AND(O256="recurring",P256=1),COUNTIFS($O$5:O256,"recurring",$P$5:P256,1),"")</f>
        <v/>
      </c>
    </row>
    <row r="257" customFormat="false" ht="15" hidden="false" customHeight="false" outlineLevel="0" collapsed="false">
      <c r="A257" s="110"/>
      <c r="B257" s="108"/>
      <c r="C257" s="142"/>
      <c r="D257" s="108"/>
      <c r="E257" s="183" t="str">
        <f aca="false" t="array" ref="E257:E257">IF(B257="","",IFERROR(INDEX(Keywords!$B$5:$B$165,MAX(ISNUMBER(SEARCH(Keywords!$A$5:$A$165,B257))*(Keywords!$A$5:$A$165&lt;&gt;"")*ROW(Keywords!$A$5:$A$165))-4),""))</f>
        <v/>
      </c>
      <c r="F257" s="150" t="str">
        <f aca="false">IF(B257="","",IF(L257="Transfer","Transfer",IF(L257="Income","Income",IF(D257&lt;&gt;"",D257,IF(E257&lt;&gt;"",E257,"Uncategorized")))))</f>
        <v/>
      </c>
      <c r="G257" s="108"/>
      <c r="H257" s="184" t="str">
        <f aca="false">IF(A257="","",DATE(YEAR(A257),MONTH(A257),1))</f>
        <v/>
      </c>
      <c r="I257" s="185"/>
      <c r="J257" s="144"/>
      <c r="K257" s="159" t="str">
        <f aca="false">IF(C257="","",N(C257)/IF(N257&lt;&gt;"",N257,IF(J257="",1,IFERROR(INDEX(Setup!$C$23:$C$46,MATCH(J257,Setup!$A$23:$A$46,0)),1))))</f>
        <v/>
      </c>
      <c r="L257" s="144"/>
      <c r="M257" s="108"/>
      <c r="N257" s="111"/>
      <c r="O257" s="156" t="str">
        <f aca="false">IF(OR(B257="",L257="Transfer"),"",IF(COUNTIFS($B$5:$B$604,B257,$H$5:$H$604,EDATE(H257,-1),$C$5:$C$604,"&gt;="&amp;C257*0.85,$C$5:$C$604,"&lt;="&amp;C257*1.15)&gt;0,"recurring",""))</f>
        <v/>
      </c>
      <c r="P257" s="157" t="str">
        <f aca="false">IF(B257="","",IF(COUNTIF(B257:$B$604,B257)=1,1,""))</f>
        <v/>
      </c>
      <c r="Q257" s="157" t="str">
        <f aca="false">IF(AND(O257="recurring",P257=1),COUNTIFS($O$5:O257,"recurring",$P$5:P257,1),"")</f>
        <v/>
      </c>
    </row>
    <row r="258" customFormat="false" ht="15" hidden="false" customHeight="false" outlineLevel="0" collapsed="false">
      <c r="A258" s="110"/>
      <c r="B258" s="108"/>
      <c r="C258" s="142"/>
      <c r="D258" s="108"/>
      <c r="E258" s="183" t="str">
        <f aca="false" t="array" ref="E258:E258">IF(B258="","",IFERROR(INDEX(Keywords!$B$5:$B$165,MAX(ISNUMBER(SEARCH(Keywords!$A$5:$A$165,B258))*(Keywords!$A$5:$A$165&lt;&gt;"")*ROW(Keywords!$A$5:$A$165))-4),""))</f>
        <v/>
      </c>
      <c r="F258" s="150" t="str">
        <f aca="false">IF(B258="","",IF(L258="Transfer","Transfer",IF(L258="Income","Income",IF(D258&lt;&gt;"",D258,IF(E258&lt;&gt;"",E258,"Uncategorized")))))</f>
        <v/>
      </c>
      <c r="G258" s="108"/>
      <c r="H258" s="184" t="str">
        <f aca="false">IF(A258="","",DATE(YEAR(A258),MONTH(A258),1))</f>
        <v/>
      </c>
      <c r="I258" s="185"/>
      <c r="J258" s="144"/>
      <c r="K258" s="159" t="str">
        <f aca="false">IF(C258="","",N(C258)/IF(N258&lt;&gt;"",N258,IF(J258="",1,IFERROR(INDEX(Setup!$C$23:$C$46,MATCH(J258,Setup!$A$23:$A$46,0)),1))))</f>
        <v/>
      </c>
      <c r="L258" s="144"/>
      <c r="M258" s="108"/>
      <c r="N258" s="111"/>
      <c r="O258" s="156" t="str">
        <f aca="false">IF(OR(B258="",L258="Transfer"),"",IF(COUNTIFS($B$5:$B$604,B258,$H$5:$H$604,EDATE(H258,-1),$C$5:$C$604,"&gt;="&amp;C258*0.85,$C$5:$C$604,"&lt;="&amp;C258*1.15)&gt;0,"recurring",""))</f>
        <v/>
      </c>
      <c r="P258" s="157" t="str">
        <f aca="false">IF(B258="","",IF(COUNTIF(B258:$B$604,B258)=1,1,""))</f>
        <v/>
      </c>
      <c r="Q258" s="157" t="str">
        <f aca="false">IF(AND(O258="recurring",P258=1),COUNTIFS($O$5:O258,"recurring",$P$5:P258,1),"")</f>
        <v/>
      </c>
    </row>
    <row r="259" customFormat="false" ht="15" hidden="false" customHeight="false" outlineLevel="0" collapsed="false">
      <c r="A259" s="110"/>
      <c r="B259" s="108"/>
      <c r="C259" s="142"/>
      <c r="D259" s="108"/>
      <c r="E259" s="183" t="str">
        <f aca="false" t="array" ref="E259:E259">IF(B259="","",IFERROR(INDEX(Keywords!$B$5:$B$165,MAX(ISNUMBER(SEARCH(Keywords!$A$5:$A$165,B259))*(Keywords!$A$5:$A$165&lt;&gt;"")*ROW(Keywords!$A$5:$A$165))-4),""))</f>
        <v/>
      </c>
      <c r="F259" s="150" t="str">
        <f aca="false">IF(B259="","",IF(L259="Transfer","Transfer",IF(L259="Income","Income",IF(D259&lt;&gt;"",D259,IF(E259&lt;&gt;"",E259,"Uncategorized")))))</f>
        <v/>
      </c>
      <c r="G259" s="108"/>
      <c r="H259" s="184" t="str">
        <f aca="false">IF(A259="","",DATE(YEAR(A259),MONTH(A259),1))</f>
        <v/>
      </c>
      <c r="I259" s="185"/>
      <c r="J259" s="144"/>
      <c r="K259" s="159" t="str">
        <f aca="false">IF(C259="","",N(C259)/IF(N259&lt;&gt;"",N259,IF(J259="",1,IFERROR(INDEX(Setup!$C$23:$C$46,MATCH(J259,Setup!$A$23:$A$46,0)),1))))</f>
        <v/>
      </c>
      <c r="L259" s="144"/>
      <c r="M259" s="108"/>
      <c r="N259" s="111"/>
      <c r="O259" s="156" t="str">
        <f aca="false">IF(OR(B259="",L259="Transfer"),"",IF(COUNTIFS($B$5:$B$604,B259,$H$5:$H$604,EDATE(H259,-1),$C$5:$C$604,"&gt;="&amp;C259*0.85,$C$5:$C$604,"&lt;="&amp;C259*1.15)&gt;0,"recurring",""))</f>
        <v/>
      </c>
      <c r="P259" s="157" t="str">
        <f aca="false">IF(B259="","",IF(COUNTIF(B259:$B$604,B259)=1,1,""))</f>
        <v/>
      </c>
      <c r="Q259" s="157" t="str">
        <f aca="false">IF(AND(O259="recurring",P259=1),COUNTIFS($O$5:O259,"recurring",$P$5:P259,1),"")</f>
        <v/>
      </c>
    </row>
    <row r="260" customFormat="false" ht="15" hidden="false" customHeight="false" outlineLevel="0" collapsed="false">
      <c r="A260" s="110"/>
      <c r="B260" s="108"/>
      <c r="C260" s="142"/>
      <c r="D260" s="108"/>
      <c r="E260" s="183" t="str">
        <f aca="false" t="array" ref="E260:E260">IF(B260="","",IFERROR(INDEX(Keywords!$B$5:$B$165,MAX(ISNUMBER(SEARCH(Keywords!$A$5:$A$165,B260))*(Keywords!$A$5:$A$165&lt;&gt;"")*ROW(Keywords!$A$5:$A$165))-4),""))</f>
        <v/>
      </c>
      <c r="F260" s="150" t="str">
        <f aca="false">IF(B260="","",IF(L260="Transfer","Transfer",IF(L260="Income","Income",IF(D260&lt;&gt;"",D260,IF(E260&lt;&gt;"",E260,"Uncategorized")))))</f>
        <v/>
      </c>
      <c r="G260" s="108"/>
      <c r="H260" s="184" t="str">
        <f aca="false">IF(A260="","",DATE(YEAR(A260),MONTH(A260),1))</f>
        <v/>
      </c>
      <c r="I260" s="185"/>
      <c r="J260" s="144"/>
      <c r="K260" s="159" t="str">
        <f aca="false">IF(C260="","",N(C260)/IF(N260&lt;&gt;"",N260,IF(J260="",1,IFERROR(INDEX(Setup!$C$23:$C$46,MATCH(J260,Setup!$A$23:$A$46,0)),1))))</f>
        <v/>
      </c>
      <c r="L260" s="144"/>
      <c r="M260" s="108"/>
      <c r="N260" s="111"/>
      <c r="O260" s="156" t="str">
        <f aca="false">IF(OR(B260="",L260="Transfer"),"",IF(COUNTIFS($B$5:$B$604,B260,$H$5:$H$604,EDATE(H260,-1),$C$5:$C$604,"&gt;="&amp;C260*0.85,$C$5:$C$604,"&lt;="&amp;C260*1.15)&gt;0,"recurring",""))</f>
        <v/>
      </c>
      <c r="P260" s="157" t="str">
        <f aca="false">IF(B260="","",IF(COUNTIF(B260:$B$604,B260)=1,1,""))</f>
        <v/>
      </c>
      <c r="Q260" s="157" t="str">
        <f aca="false">IF(AND(O260="recurring",P260=1),COUNTIFS($O$5:O260,"recurring",$P$5:P260,1),"")</f>
        <v/>
      </c>
    </row>
    <row r="261" customFormat="false" ht="15" hidden="false" customHeight="false" outlineLevel="0" collapsed="false">
      <c r="A261" s="110"/>
      <c r="B261" s="108"/>
      <c r="C261" s="142"/>
      <c r="D261" s="108"/>
      <c r="E261" s="183" t="str">
        <f aca="false" t="array" ref="E261:E261">IF(B261="","",IFERROR(INDEX(Keywords!$B$5:$B$165,MAX(ISNUMBER(SEARCH(Keywords!$A$5:$A$165,B261))*(Keywords!$A$5:$A$165&lt;&gt;"")*ROW(Keywords!$A$5:$A$165))-4),""))</f>
        <v/>
      </c>
      <c r="F261" s="150" t="str">
        <f aca="false">IF(B261="","",IF(L261="Transfer","Transfer",IF(L261="Income","Income",IF(D261&lt;&gt;"",D261,IF(E261&lt;&gt;"",E261,"Uncategorized")))))</f>
        <v/>
      </c>
      <c r="G261" s="108"/>
      <c r="H261" s="184" t="str">
        <f aca="false">IF(A261="","",DATE(YEAR(A261),MONTH(A261),1))</f>
        <v/>
      </c>
      <c r="I261" s="185"/>
      <c r="J261" s="144"/>
      <c r="K261" s="159" t="str">
        <f aca="false">IF(C261="","",N(C261)/IF(N261&lt;&gt;"",N261,IF(J261="",1,IFERROR(INDEX(Setup!$C$23:$C$46,MATCH(J261,Setup!$A$23:$A$46,0)),1))))</f>
        <v/>
      </c>
      <c r="L261" s="144"/>
      <c r="M261" s="108"/>
      <c r="N261" s="111"/>
      <c r="O261" s="156" t="str">
        <f aca="false">IF(OR(B261="",L261="Transfer"),"",IF(COUNTIFS($B$5:$B$604,B261,$H$5:$H$604,EDATE(H261,-1),$C$5:$C$604,"&gt;="&amp;C261*0.85,$C$5:$C$604,"&lt;="&amp;C261*1.15)&gt;0,"recurring",""))</f>
        <v/>
      </c>
      <c r="P261" s="157" t="str">
        <f aca="false">IF(B261="","",IF(COUNTIF(B261:$B$604,B261)=1,1,""))</f>
        <v/>
      </c>
      <c r="Q261" s="157" t="str">
        <f aca="false">IF(AND(O261="recurring",P261=1),COUNTIFS($O$5:O261,"recurring",$P$5:P261,1),"")</f>
        <v/>
      </c>
    </row>
    <row r="262" customFormat="false" ht="15" hidden="false" customHeight="false" outlineLevel="0" collapsed="false">
      <c r="A262" s="110"/>
      <c r="B262" s="108"/>
      <c r="C262" s="142"/>
      <c r="D262" s="108"/>
      <c r="E262" s="183" t="str">
        <f aca="false" t="array" ref="E262:E262">IF(B262="","",IFERROR(INDEX(Keywords!$B$5:$B$165,MAX(ISNUMBER(SEARCH(Keywords!$A$5:$A$165,B262))*(Keywords!$A$5:$A$165&lt;&gt;"")*ROW(Keywords!$A$5:$A$165))-4),""))</f>
        <v/>
      </c>
      <c r="F262" s="150" t="str">
        <f aca="false">IF(B262="","",IF(L262="Transfer","Transfer",IF(L262="Income","Income",IF(D262&lt;&gt;"",D262,IF(E262&lt;&gt;"",E262,"Uncategorized")))))</f>
        <v/>
      </c>
      <c r="G262" s="108"/>
      <c r="H262" s="184" t="str">
        <f aca="false">IF(A262="","",DATE(YEAR(A262),MONTH(A262),1))</f>
        <v/>
      </c>
      <c r="I262" s="185"/>
      <c r="J262" s="144"/>
      <c r="K262" s="159" t="str">
        <f aca="false">IF(C262="","",N(C262)/IF(N262&lt;&gt;"",N262,IF(J262="",1,IFERROR(INDEX(Setup!$C$23:$C$46,MATCH(J262,Setup!$A$23:$A$46,0)),1))))</f>
        <v/>
      </c>
      <c r="L262" s="144"/>
      <c r="M262" s="108"/>
      <c r="N262" s="111"/>
      <c r="O262" s="156" t="str">
        <f aca="false">IF(OR(B262="",L262="Transfer"),"",IF(COUNTIFS($B$5:$B$604,B262,$H$5:$H$604,EDATE(H262,-1),$C$5:$C$604,"&gt;="&amp;C262*0.85,$C$5:$C$604,"&lt;="&amp;C262*1.15)&gt;0,"recurring",""))</f>
        <v/>
      </c>
      <c r="P262" s="157" t="str">
        <f aca="false">IF(B262="","",IF(COUNTIF(B262:$B$604,B262)=1,1,""))</f>
        <v/>
      </c>
      <c r="Q262" s="157" t="str">
        <f aca="false">IF(AND(O262="recurring",P262=1),COUNTIFS($O$5:O262,"recurring",$P$5:P262,1),"")</f>
        <v/>
      </c>
    </row>
    <row r="263" customFormat="false" ht="15" hidden="false" customHeight="false" outlineLevel="0" collapsed="false">
      <c r="A263" s="110"/>
      <c r="B263" s="108"/>
      <c r="C263" s="142"/>
      <c r="D263" s="108"/>
      <c r="E263" s="183" t="str">
        <f aca="false" t="array" ref="E263:E263">IF(B263="","",IFERROR(INDEX(Keywords!$B$5:$B$165,MAX(ISNUMBER(SEARCH(Keywords!$A$5:$A$165,B263))*(Keywords!$A$5:$A$165&lt;&gt;"")*ROW(Keywords!$A$5:$A$165))-4),""))</f>
        <v/>
      </c>
      <c r="F263" s="150" t="str">
        <f aca="false">IF(B263="","",IF(L263="Transfer","Transfer",IF(L263="Income","Income",IF(D263&lt;&gt;"",D263,IF(E263&lt;&gt;"",E263,"Uncategorized")))))</f>
        <v/>
      </c>
      <c r="G263" s="108"/>
      <c r="H263" s="184" t="str">
        <f aca="false">IF(A263="","",DATE(YEAR(A263),MONTH(A263),1))</f>
        <v/>
      </c>
      <c r="I263" s="185"/>
      <c r="J263" s="144"/>
      <c r="K263" s="159" t="str">
        <f aca="false">IF(C263="","",N(C263)/IF(N263&lt;&gt;"",N263,IF(J263="",1,IFERROR(INDEX(Setup!$C$23:$C$46,MATCH(J263,Setup!$A$23:$A$46,0)),1))))</f>
        <v/>
      </c>
      <c r="L263" s="144"/>
      <c r="M263" s="108"/>
      <c r="N263" s="111"/>
      <c r="O263" s="156" t="str">
        <f aca="false">IF(OR(B263="",L263="Transfer"),"",IF(COUNTIFS($B$5:$B$604,B263,$H$5:$H$604,EDATE(H263,-1),$C$5:$C$604,"&gt;="&amp;C263*0.85,$C$5:$C$604,"&lt;="&amp;C263*1.15)&gt;0,"recurring",""))</f>
        <v/>
      </c>
      <c r="P263" s="157" t="str">
        <f aca="false">IF(B263="","",IF(COUNTIF(B263:$B$604,B263)=1,1,""))</f>
        <v/>
      </c>
      <c r="Q263" s="157" t="str">
        <f aca="false">IF(AND(O263="recurring",P263=1),COUNTIFS($O$5:O263,"recurring",$P$5:P263,1),"")</f>
        <v/>
      </c>
    </row>
    <row r="264" customFormat="false" ht="15" hidden="false" customHeight="false" outlineLevel="0" collapsed="false">
      <c r="A264" s="110"/>
      <c r="B264" s="108"/>
      <c r="C264" s="142"/>
      <c r="D264" s="108"/>
      <c r="E264" s="183" t="str">
        <f aca="false" t="array" ref="E264:E264">IF(B264="","",IFERROR(INDEX(Keywords!$B$5:$B$165,MAX(ISNUMBER(SEARCH(Keywords!$A$5:$A$165,B264))*(Keywords!$A$5:$A$165&lt;&gt;"")*ROW(Keywords!$A$5:$A$165))-4),""))</f>
        <v/>
      </c>
      <c r="F264" s="150" t="str">
        <f aca="false">IF(B264="","",IF(L264="Transfer","Transfer",IF(L264="Income","Income",IF(D264&lt;&gt;"",D264,IF(E264&lt;&gt;"",E264,"Uncategorized")))))</f>
        <v/>
      </c>
      <c r="G264" s="108"/>
      <c r="H264" s="184" t="str">
        <f aca="false">IF(A264="","",DATE(YEAR(A264),MONTH(A264),1))</f>
        <v/>
      </c>
      <c r="I264" s="185"/>
      <c r="J264" s="144"/>
      <c r="K264" s="159" t="str">
        <f aca="false">IF(C264="","",N(C264)/IF(N264&lt;&gt;"",N264,IF(J264="",1,IFERROR(INDEX(Setup!$C$23:$C$46,MATCH(J264,Setup!$A$23:$A$46,0)),1))))</f>
        <v/>
      </c>
      <c r="L264" s="144"/>
      <c r="M264" s="108"/>
      <c r="N264" s="111"/>
      <c r="O264" s="156" t="str">
        <f aca="false">IF(OR(B264="",L264="Transfer"),"",IF(COUNTIFS($B$5:$B$604,B264,$H$5:$H$604,EDATE(H264,-1),$C$5:$C$604,"&gt;="&amp;C264*0.85,$C$5:$C$604,"&lt;="&amp;C264*1.15)&gt;0,"recurring",""))</f>
        <v/>
      </c>
      <c r="P264" s="157" t="str">
        <f aca="false">IF(B264="","",IF(COUNTIF(B264:$B$604,B264)=1,1,""))</f>
        <v/>
      </c>
      <c r="Q264" s="157" t="str">
        <f aca="false">IF(AND(O264="recurring",P264=1),COUNTIFS($O$5:O264,"recurring",$P$5:P264,1),"")</f>
        <v/>
      </c>
    </row>
    <row r="265" customFormat="false" ht="15" hidden="false" customHeight="false" outlineLevel="0" collapsed="false">
      <c r="A265" s="110"/>
      <c r="B265" s="108"/>
      <c r="C265" s="142"/>
      <c r="D265" s="108"/>
      <c r="E265" s="183" t="str">
        <f aca="false" t="array" ref="E265:E265">IF(B265="","",IFERROR(INDEX(Keywords!$B$5:$B$165,MAX(ISNUMBER(SEARCH(Keywords!$A$5:$A$165,B265))*(Keywords!$A$5:$A$165&lt;&gt;"")*ROW(Keywords!$A$5:$A$165))-4),""))</f>
        <v/>
      </c>
      <c r="F265" s="150" t="str">
        <f aca="false">IF(B265="","",IF(L265="Transfer","Transfer",IF(L265="Income","Income",IF(D265&lt;&gt;"",D265,IF(E265&lt;&gt;"",E265,"Uncategorized")))))</f>
        <v/>
      </c>
      <c r="G265" s="108"/>
      <c r="H265" s="184" t="str">
        <f aca="false">IF(A265="","",DATE(YEAR(A265),MONTH(A265),1))</f>
        <v/>
      </c>
      <c r="I265" s="185"/>
      <c r="J265" s="144"/>
      <c r="K265" s="159" t="str">
        <f aca="false">IF(C265="","",N(C265)/IF(N265&lt;&gt;"",N265,IF(J265="",1,IFERROR(INDEX(Setup!$C$23:$C$46,MATCH(J265,Setup!$A$23:$A$46,0)),1))))</f>
        <v/>
      </c>
      <c r="L265" s="144"/>
      <c r="M265" s="108"/>
      <c r="N265" s="111"/>
      <c r="O265" s="156" t="str">
        <f aca="false">IF(OR(B265="",L265="Transfer"),"",IF(COUNTIFS($B$5:$B$604,B265,$H$5:$H$604,EDATE(H265,-1),$C$5:$C$604,"&gt;="&amp;C265*0.85,$C$5:$C$604,"&lt;="&amp;C265*1.15)&gt;0,"recurring",""))</f>
        <v/>
      </c>
      <c r="P265" s="157" t="str">
        <f aca="false">IF(B265="","",IF(COUNTIF(B265:$B$604,B265)=1,1,""))</f>
        <v/>
      </c>
      <c r="Q265" s="157" t="str">
        <f aca="false">IF(AND(O265="recurring",P265=1),COUNTIFS($O$5:O265,"recurring",$P$5:P265,1),"")</f>
        <v/>
      </c>
    </row>
    <row r="266" customFormat="false" ht="15" hidden="false" customHeight="false" outlineLevel="0" collapsed="false">
      <c r="A266" s="110"/>
      <c r="B266" s="108"/>
      <c r="C266" s="142"/>
      <c r="D266" s="108"/>
      <c r="E266" s="183" t="str">
        <f aca="false" t="array" ref="E266:E266">IF(B266="","",IFERROR(INDEX(Keywords!$B$5:$B$165,MAX(ISNUMBER(SEARCH(Keywords!$A$5:$A$165,B266))*(Keywords!$A$5:$A$165&lt;&gt;"")*ROW(Keywords!$A$5:$A$165))-4),""))</f>
        <v/>
      </c>
      <c r="F266" s="150" t="str">
        <f aca="false">IF(B266="","",IF(L266="Transfer","Transfer",IF(L266="Income","Income",IF(D266&lt;&gt;"",D266,IF(E266&lt;&gt;"",E266,"Uncategorized")))))</f>
        <v/>
      </c>
      <c r="G266" s="108"/>
      <c r="H266" s="184" t="str">
        <f aca="false">IF(A266="","",DATE(YEAR(A266),MONTH(A266),1))</f>
        <v/>
      </c>
      <c r="I266" s="185"/>
      <c r="J266" s="144"/>
      <c r="K266" s="159" t="str">
        <f aca="false">IF(C266="","",N(C266)/IF(N266&lt;&gt;"",N266,IF(J266="",1,IFERROR(INDEX(Setup!$C$23:$C$46,MATCH(J266,Setup!$A$23:$A$46,0)),1))))</f>
        <v/>
      </c>
      <c r="L266" s="144"/>
      <c r="M266" s="108"/>
      <c r="N266" s="111"/>
      <c r="O266" s="156" t="str">
        <f aca="false">IF(OR(B266="",L266="Transfer"),"",IF(COUNTIFS($B$5:$B$604,B266,$H$5:$H$604,EDATE(H266,-1),$C$5:$C$604,"&gt;="&amp;C266*0.85,$C$5:$C$604,"&lt;="&amp;C266*1.15)&gt;0,"recurring",""))</f>
        <v/>
      </c>
      <c r="P266" s="157" t="str">
        <f aca="false">IF(B266="","",IF(COUNTIF(B266:$B$604,B266)=1,1,""))</f>
        <v/>
      </c>
      <c r="Q266" s="157" t="str">
        <f aca="false">IF(AND(O266="recurring",P266=1),COUNTIFS($O$5:O266,"recurring",$P$5:P266,1),"")</f>
        <v/>
      </c>
    </row>
    <row r="267" customFormat="false" ht="15" hidden="false" customHeight="false" outlineLevel="0" collapsed="false">
      <c r="A267" s="110"/>
      <c r="B267" s="108"/>
      <c r="C267" s="142"/>
      <c r="D267" s="108"/>
      <c r="E267" s="183" t="str">
        <f aca="false" t="array" ref="E267:E267">IF(B267="","",IFERROR(INDEX(Keywords!$B$5:$B$165,MAX(ISNUMBER(SEARCH(Keywords!$A$5:$A$165,B267))*(Keywords!$A$5:$A$165&lt;&gt;"")*ROW(Keywords!$A$5:$A$165))-4),""))</f>
        <v/>
      </c>
      <c r="F267" s="150" t="str">
        <f aca="false">IF(B267="","",IF(L267="Transfer","Transfer",IF(L267="Income","Income",IF(D267&lt;&gt;"",D267,IF(E267&lt;&gt;"",E267,"Uncategorized")))))</f>
        <v/>
      </c>
      <c r="G267" s="108"/>
      <c r="H267" s="184" t="str">
        <f aca="false">IF(A267="","",DATE(YEAR(A267),MONTH(A267),1))</f>
        <v/>
      </c>
      <c r="I267" s="185"/>
      <c r="J267" s="144"/>
      <c r="K267" s="159" t="str">
        <f aca="false">IF(C267="","",N(C267)/IF(N267&lt;&gt;"",N267,IF(J267="",1,IFERROR(INDEX(Setup!$C$23:$C$46,MATCH(J267,Setup!$A$23:$A$46,0)),1))))</f>
        <v/>
      </c>
      <c r="L267" s="144"/>
      <c r="M267" s="108"/>
      <c r="N267" s="111"/>
      <c r="O267" s="156" t="str">
        <f aca="false">IF(OR(B267="",L267="Transfer"),"",IF(COUNTIFS($B$5:$B$604,B267,$H$5:$H$604,EDATE(H267,-1),$C$5:$C$604,"&gt;="&amp;C267*0.85,$C$5:$C$604,"&lt;="&amp;C267*1.15)&gt;0,"recurring",""))</f>
        <v/>
      </c>
      <c r="P267" s="157" t="str">
        <f aca="false">IF(B267="","",IF(COUNTIF(B267:$B$604,B267)=1,1,""))</f>
        <v/>
      </c>
      <c r="Q267" s="157" t="str">
        <f aca="false">IF(AND(O267="recurring",P267=1),COUNTIFS($O$5:O267,"recurring",$P$5:P267,1),"")</f>
        <v/>
      </c>
    </row>
    <row r="268" customFormat="false" ht="15" hidden="false" customHeight="false" outlineLevel="0" collapsed="false">
      <c r="A268" s="110"/>
      <c r="B268" s="108"/>
      <c r="C268" s="142"/>
      <c r="D268" s="108"/>
      <c r="E268" s="183" t="str">
        <f aca="false" t="array" ref="E268:E268">IF(B268="","",IFERROR(INDEX(Keywords!$B$5:$B$165,MAX(ISNUMBER(SEARCH(Keywords!$A$5:$A$165,B268))*(Keywords!$A$5:$A$165&lt;&gt;"")*ROW(Keywords!$A$5:$A$165))-4),""))</f>
        <v/>
      </c>
      <c r="F268" s="150" t="str">
        <f aca="false">IF(B268="","",IF(L268="Transfer","Transfer",IF(L268="Income","Income",IF(D268&lt;&gt;"",D268,IF(E268&lt;&gt;"",E268,"Uncategorized")))))</f>
        <v/>
      </c>
      <c r="G268" s="108"/>
      <c r="H268" s="184" t="str">
        <f aca="false">IF(A268="","",DATE(YEAR(A268),MONTH(A268),1))</f>
        <v/>
      </c>
      <c r="I268" s="185"/>
      <c r="J268" s="144"/>
      <c r="K268" s="159" t="str">
        <f aca="false">IF(C268="","",N(C268)/IF(N268&lt;&gt;"",N268,IF(J268="",1,IFERROR(INDEX(Setup!$C$23:$C$46,MATCH(J268,Setup!$A$23:$A$46,0)),1))))</f>
        <v/>
      </c>
      <c r="L268" s="144"/>
      <c r="M268" s="108"/>
      <c r="N268" s="111"/>
      <c r="O268" s="156" t="str">
        <f aca="false">IF(OR(B268="",L268="Transfer"),"",IF(COUNTIFS($B$5:$B$604,B268,$H$5:$H$604,EDATE(H268,-1),$C$5:$C$604,"&gt;="&amp;C268*0.85,$C$5:$C$604,"&lt;="&amp;C268*1.15)&gt;0,"recurring",""))</f>
        <v/>
      </c>
      <c r="P268" s="157" t="str">
        <f aca="false">IF(B268="","",IF(COUNTIF(B268:$B$604,B268)=1,1,""))</f>
        <v/>
      </c>
      <c r="Q268" s="157" t="str">
        <f aca="false">IF(AND(O268="recurring",P268=1),COUNTIFS($O$5:O268,"recurring",$P$5:P268,1),"")</f>
        <v/>
      </c>
    </row>
    <row r="269" customFormat="false" ht="15" hidden="false" customHeight="false" outlineLevel="0" collapsed="false">
      <c r="A269" s="110"/>
      <c r="B269" s="108"/>
      <c r="C269" s="142"/>
      <c r="D269" s="108"/>
      <c r="E269" s="183" t="str">
        <f aca="false" t="array" ref="E269:E269">IF(B269="","",IFERROR(INDEX(Keywords!$B$5:$B$165,MAX(ISNUMBER(SEARCH(Keywords!$A$5:$A$165,B269))*(Keywords!$A$5:$A$165&lt;&gt;"")*ROW(Keywords!$A$5:$A$165))-4),""))</f>
        <v/>
      </c>
      <c r="F269" s="150" t="str">
        <f aca="false">IF(B269="","",IF(L269="Transfer","Transfer",IF(L269="Income","Income",IF(D269&lt;&gt;"",D269,IF(E269&lt;&gt;"",E269,"Uncategorized")))))</f>
        <v/>
      </c>
      <c r="G269" s="108"/>
      <c r="H269" s="184" t="str">
        <f aca="false">IF(A269="","",DATE(YEAR(A269),MONTH(A269),1))</f>
        <v/>
      </c>
      <c r="I269" s="185"/>
      <c r="J269" s="144"/>
      <c r="K269" s="159" t="str">
        <f aca="false">IF(C269="","",N(C269)/IF(N269&lt;&gt;"",N269,IF(J269="",1,IFERROR(INDEX(Setup!$C$23:$C$46,MATCH(J269,Setup!$A$23:$A$46,0)),1))))</f>
        <v/>
      </c>
      <c r="L269" s="144"/>
      <c r="M269" s="108"/>
      <c r="N269" s="111"/>
      <c r="O269" s="156" t="str">
        <f aca="false">IF(OR(B269="",L269="Transfer"),"",IF(COUNTIFS($B$5:$B$604,B269,$H$5:$H$604,EDATE(H269,-1),$C$5:$C$604,"&gt;="&amp;C269*0.85,$C$5:$C$604,"&lt;="&amp;C269*1.15)&gt;0,"recurring",""))</f>
        <v/>
      </c>
      <c r="P269" s="157" t="str">
        <f aca="false">IF(B269="","",IF(COUNTIF(B269:$B$604,B269)=1,1,""))</f>
        <v/>
      </c>
      <c r="Q269" s="157" t="str">
        <f aca="false">IF(AND(O269="recurring",P269=1),COUNTIFS($O$5:O269,"recurring",$P$5:P269,1),"")</f>
        <v/>
      </c>
    </row>
    <row r="270" customFormat="false" ht="15" hidden="false" customHeight="false" outlineLevel="0" collapsed="false">
      <c r="A270" s="110"/>
      <c r="B270" s="108"/>
      <c r="C270" s="142"/>
      <c r="D270" s="108"/>
      <c r="E270" s="183" t="str">
        <f aca="false" t="array" ref="E270:E270">IF(B270="","",IFERROR(INDEX(Keywords!$B$5:$B$165,MAX(ISNUMBER(SEARCH(Keywords!$A$5:$A$165,B270))*(Keywords!$A$5:$A$165&lt;&gt;"")*ROW(Keywords!$A$5:$A$165))-4),""))</f>
        <v/>
      </c>
      <c r="F270" s="150" t="str">
        <f aca="false">IF(B270="","",IF(L270="Transfer","Transfer",IF(L270="Income","Income",IF(D270&lt;&gt;"",D270,IF(E270&lt;&gt;"",E270,"Uncategorized")))))</f>
        <v/>
      </c>
      <c r="G270" s="108"/>
      <c r="H270" s="184" t="str">
        <f aca="false">IF(A270="","",DATE(YEAR(A270),MONTH(A270),1))</f>
        <v/>
      </c>
      <c r="I270" s="185"/>
      <c r="J270" s="144"/>
      <c r="K270" s="159" t="str">
        <f aca="false">IF(C270="","",N(C270)/IF(N270&lt;&gt;"",N270,IF(J270="",1,IFERROR(INDEX(Setup!$C$23:$C$46,MATCH(J270,Setup!$A$23:$A$46,0)),1))))</f>
        <v/>
      </c>
      <c r="L270" s="144"/>
      <c r="M270" s="108"/>
      <c r="N270" s="111"/>
      <c r="O270" s="156" t="str">
        <f aca="false">IF(OR(B270="",L270="Transfer"),"",IF(COUNTIFS($B$5:$B$604,B270,$H$5:$H$604,EDATE(H270,-1),$C$5:$C$604,"&gt;="&amp;C270*0.85,$C$5:$C$604,"&lt;="&amp;C270*1.15)&gt;0,"recurring",""))</f>
        <v/>
      </c>
      <c r="P270" s="157" t="str">
        <f aca="false">IF(B270="","",IF(COUNTIF(B270:$B$604,B270)=1,1,""))</f>
        <v/>
      </c>
      <c r="Q270" s="157" t="str">
        <f aca="false">IF(AND(O270="recurring",P270=1),COUNTIFS($O$5:O270,"recurring",$P$5:P270,1),"")</f>
        <v/>
      </c>
    </row>
    <row r="271" customFormat="false" ht="15" hidden="false" customHeight="false" outlineLevel="0" collapsed="false">
      <c r="A271" s="110"/>
      <c r="B271" s="108"/>
      <c r="C271" s="142"/>
      <c r="D271" s="108"/>
      <c r="E271" s="183" t="str">
        <f aca="false" t="array" ref="E271:E271">IF(B271="","",IFERROR(INDEX(Keywords!$B$5:$B$165,MAX(ISNUMBER(SEARCH(Keywords!$A$5:$A$165,B271))*(Keywords!$A$5:$A$165&lt;&gt;"")*ROW(Keywords!$A$5:$A$165))-4),""))</f>
        <v/>
      </c>
      <c r="F271" s="150" t="str">
        <f aca="false">IF(B271="","",IF(L271="Transfer","Transfer",IF(L271="Income","Income",IF(D271&lt;&gt;"",D271,IF(E271&lt;&gt;"",E271,"Uncategorized")))))</f>
        <v/>
      </c>
      <c r="G271" s="108"/>
      <c r="H271" s="184" t="str">
        <f aca="false">IF(A271="","",DATE(YEAR(A271),MONTH(A271),1))</f>
        <v/>
      </c>
      <c r="I271" s="185"/>
      <c r="J271" s="144"/>
      <c r="K271" s="159" t="str">
        <f aca="false">IF(C271="","",N(C271)/IF(N271&lt;&gt;"",N271,IF(J271="",1,IFERROR(INDEX(Setup!$C$23:$C$46,MATCH(J271,Setup!$A$23:$A$46,0)),1))))</f>
        <v/>
      </c>
      <c r="L271" s="144"/>
      <c r="M271" s="108"/>
      <c r="N271" s="111"/>
      <c r="O271" s="156" t="str">
        <f aca="false">IF(OR(B271="",L271="Transfer"),"",IF(COUNTIFS($B$5:$B$604,B271,$H$5:$H$604,EDATE(H271,-1),$C$5:$C$604,"&gt;="&amp;C271*0.85,$C$5:$C$604,"&lt;="&amp;C271*1.15)&gt;0,"recurring",""))</f>
        <v/>
      </c>
      <c r="P271" s="157" t="str">
        <f aca="false">IF(B271="","",IF(COUNTIF(B271:$B$604,B271)=1,1,""))</f>
        <v/>
      </c>
      <c r="Q271" s="157" t="str">
        <f aca="false">IF(AND(O271="recurring",P271=1),COUNTIFS($O$5:O271,"recurring",$P$5:P271,1),"")</f>
        <v/>
      </c>
    </row>
    <row r="272" customFormat="false" ht="15" hidden="false" customHeight="false" outlineLevel="0" collapsed="false">
      <c r="A272" s="110"/>
      <c r="B272" s="108"/>
      <c r="C272" s="142"/>
      <c r="D272" s="108"/>
      <c r="E272" s="183" t="str">
        <f aca="false" t="array" ref="E272:E272">IF(B272="","",IFERROR(INDEX(Keywords!$B$5:$B$165,MAX(ISNUMBER(SEARCH(Keywords!$A$5:$A$165,B272))*(Keywords!$A$5:$A$165&lt;&gt;"")*ROW(Keywords!$A$5:$A$165))-4),""))</f>
        <v/>
      </c>
      <c r="F272" s="150" t="str">
        <f aca="false">IF(B272="","",IF(L272="Transfer","Transfer",IF(L272="Income","Income",IF(D272&lt;&gt;"",D272,IF(E272&lt;&gt;"",E272,"Uncategorized")))))</f>
        <v/>
      </c>
      <c r="G272" s="108"/>
      <c r="H272" s="184" t="str">
        <f aca="false">IF(A272="","",DATE(YEAR(A272),MONTH(A272),1))</f>
        <v/>
      </c>
      <c r="I272" s="185"/>
      <c r="J272" s="144"/>
      <c r="K272" s="159" t="str">
        <f aca="false">IF(C272="","",N(C272)/IF(N272&lt;&gt;"",N272,IF(J272="",1,IFERROR(INDEX(Setup!$C$23:$C$46,MATCH(J272,Setup!$A$23:$A$46,0)),1))))</f>
        <v/>
      </c>
      <c r="L272" s="144"/>
      <c r="M272" s="108"/>
      <c r="N272" s="111"/>
      <c r="O272" s="156" t="str">
        <f aca="false">IF(OR(B272="",L272="Transfer"),"",IF(COUNTIFS($B$5:$B$604,B272,$H$5:$H$604,EDATE(H272,-1),$C$5:$C$604,"&gt;="&amp;C272*0.85,$C$5:$C$604,"&lt;="&amp;C272*1.15)&gt;0,"recurring",""))</f>
        <v/>
      </c>
      <c r="P272" s="157" t="str">
        <f aca="false">IF(B272="","",IF(COUNTIF(B272:$B$604,B272)=1,1,""))</f>
        <v/>
      </c>
      <c r="Q272" s="157" t="str">
        <f aca="false">IF(AND(O272="recurring",P272=1),COUNTIFS($O$5:O272,"recurring",$P$5:P272,1),"")</f>
        <v/>
      </c>
    </row>
    <row r="273" customFormat="false" ht="15" hidden="false" customHeight="false" outlineLevel="0" collapsed="false">
      <c r="A273" s="110"/>
      <c r="B273" s="108"/>
      <c r="C273" s="142"/>
      <c r="D273" s="108"/>
      <c r="E273" s="183" t="str">
        <f aca="false" t="array" ref="E273:E273">IF(B273="","",IFERROR(INDEX(Keywords!$B$5:$B$165,MAX(ISNUMBER(SEARCH(Keywords!$A$5:$A$165,B273))*(Keywords!$A$5:$A$165&lt;&gt;"")*ROW(Keywords!$A$5:$A$165))-4),""))</f>
        <v/>
      </c>
      <c r="F273" s="150" t="str">
        <f aca="false">IF(B273="","",IF(L273="Transfer","Transfer",IF(L273="Income","Income",IF(D273&lt;&gt;"",D273,IF(E273&lt;&gt;"",E273,"Uncategorized")))))</f>
        <v/>
      </c>
      <c r="G273" s="108"/>
      <c r="H273" s="184" t="str">
        <f aca="false">IF(A273="","",DATE(YEAR(A273),MONTH(A273),1))</f>
        <v/>
      </c>
      <c r="I273" s="185"/>
      <c r="J273" s="144"/>
      <c r="K273" s="159" t="str">
        <f aca="false">IF(C273="","",N(C273)/IF(N273&lt;&gt;"",N273,IF(J273="",1,IFERROR(INDEX(Setup!$C$23:$C$46,MATCH(J273,Setup!$A$23:$A$46,0)),1))))</f>
        <v/>
      </c>
      <c r="L273" s="144"/>
      <c r="M273" s="108"/>
      <c r="N273" s="111"/>
      <c r="O273" s="156" t="str">
        <f aca="false">IF(OR(B273="",L273="Transfer"),"",IF(COUNTIFS($B$5:$B$604,B273,$H$5:$H$604,EDATE(H273,-1),$C$5:$C$604,"&gt;="&amp;C273*0.85,$C$5:$C$604,"&lt;="&amp;C273*1.15)&gt;0,"recurring",""))</f>
        <v/>
      </c>
      <c r="P273" s="157" t="str">
        <f aca="false">IF(B273="","",IF(COUNTIF(B273:$B$604,B273)=1,1,""))</f>
        <v/>
      </c>
      <c r="Q273" s="157" t="str">
        <f aca="false">IF(AND(O273="recurring",P273=1),COUNTIFS($O$5:O273,"recurring",$P$5:P273,1),"")</f>
        <v/>
      </c>
    </row>
    <row r="274" customFormat="false" ht="15" hidden="false" customHeight="false" outlineLevel="0" collapsed="false">
      <c r="A274" s="110"/>
      <c r="B274" s="108"/>
      <c r="C274" s="142"/>
      <c r="D274" s="108"/>
      <c r="E274" s="183" t="str">
        <f aca="false" t="array" ref="E274:E274">IF(B274="","",IFERROR(INDEX(Keywords!$B$5:$B$165,MAX(ISNUMBER(SEARCH(Keywords!$A$5:$A$165,B274))*(Keywords!$A$5:$A$165&lt;&gt;"")*ROW(Keywords!$A$5:$A$165))-4),""))</f>
        <v/>
      </c>
      <c r="F274" s="150" t="str">
        <f aca="false">IF(B274="","",IF(L274="Transfer","Transfer",IF(L274="Income","Income",IF(D274&lt;&gt;"",D274,IF(E274&lt;&gt;"",E274,"Uncategorized")))))</f>
        <v/>
      </c>
      <c r="G274" s="108"/>
      <c r="H274" s="184" t="str">
        <f aca="false">IF(A274="","",DATE(YEAR(A274),MONTH(A274),1))</f>
        <v/>
      </c>
      <c r="I274" s="185"/>
      <c r="J274" s="144"/>
      <c r="K274" s="159" t="str">
        <f aca="false">IF(C274="","",N(C274)/IF(N274&lt;&gt;"",N274,IF(J274="",1,IFERROR(INDEX(Setup!$C$23:$C$46,MATCH(J274,Setup!$A$23:$A$46,0)),1))))</f>
        <v/>
      </c>
      <c r="L274" s="144"/>
      <c r="M274" s="108"/>
      <c r="N274" s="111"/>
      <c r="O274" s="156" t="str">
        <f aca="false">IF(OR(B274="",L274="Transfer"),"",IF(COUNTIFS($B$5:$B$604,B274,$H$5:$H$604,EDATE(H274,-1),$C$5:$C$604,"&gt;="&amp;C274*0.85,$C$5:$C$604,"&lt;="&amp;C274*1.15)&gt;0,"recurring",""))</f>
        <v/>
      </c>
      <c r="P274" s="157" t="str">
        <f aca="false">IF(B274="","",IF(COUNTIF(B274:$B$604,B274)=1,1,""))</f>
        <v/>
      </c>
      <c r="Q274" s="157" t="str">
        <f aca="false">IF(AND(O274="recurring",P274=1),COUNTIFS($O$5:O274,"recurring",$P$5:P274,1),"")</f>
        <v/>
      </c>
    </row>
    <row r="275" customFormat="false" ht="15" hidden="false" customHeight="false" outlineLevel="0" collapsed="false">
      <c r="A275" s="110"/>
      <c r="B275" s="108"/>
      <c r="C275" s="142"/>
      <c r="D275" s="108"/>
      <c r="E275" s="183" t="str">
        <f aca="false" t="array" ref="E275:E275">IF(B275="","",IFERROR(INDEX(Keywords!$B$5:$B$165,MAX(ISNUMBER(SEARCH(Keywords!$A$5:$A$165,B275))*(Keywords!$A$5:$A$165&lt;&gt;"")*ROW(Keywords!$A$5:$A$165))-4),""))</f>
        <v/>
      </c>
      <c r="F275" s="150" t="str">
        <f aca="false">IF(B275="","",IF(L275="Transfer","Transfer",IF(L275="Income","Income",IF(D275&lt;&gt;"",D275,IF(E275&lt;&gt;"",E275,"Uncategorized")))))</f>
        <v/>
      </c>
      <c r="G275" s="108"/>
      <c r="H275" s="184" t="str">
        <f aca="false">IF(A275="","",DATE(YEAR(A275),MONTH(A275),1))</f>
        <v/>
      </c>
      <c r="I275" s="185"/>
      <c r="J275" s="144"/>
      <c r="K275" s="159" t="str">
        <f aca="false">IF(C275="","",N(C275)/IF(N275&lt;&gt;"",N275,IF(J275="",1,IFERROR(INDEX(Setup!$C$23:$C$46,MATCH(J275,Setup!$A$23:$A$46,0)),1))))</f>
        <v/>
      </c>
      <c r="L275" s="144"/>
      <c r="M275" s="108"/>
      <c r="N275" s="111"/>
      <c r="O275" s="156" t="str">
        <f aca="false">IF(OR(B275="",L275="Transfer"),"",IF(COUNTIFS($B$5:$B$604,B275,$H$5:$H$604,EDATE(H275,-1),$C$5:$C$604,"&gt;="&amp;C275*0.85,$C$5:$C$604,"&lt;="&amp;C275*1.15)&gt;0,"recurring",""))</f>
        <v/>
      </c>
      <c r="P275" s="157" t="str">
        <f aca="false">IF(B275="","",IF(COUNTIF(B275:$B$604,B275)=1,1,""))</f>
        <v/>
      </c>
      <c r="Q275" s="157" t="str">
        <f aca="false">IF(AND(O275="recurring",P275=1),COUNTIFS($O$5:O275,"recurring",$P$5:P275,1),"")</f>
        <v/>
      </c>
    </row>
    <row r="276" customFormat="false" ht="15" hidden="false" customHeight="false" outlineLevel="0" collapsed="false">
      <c r="A276" s="110"/>
      <c r="B276" s="108"/>
      <c r="C276" s="142"/>
      <c r="D276" s="108"/>
      <c r="E276" s="183" t="str">
        <f aca="false" t="array" ref="E276:E276">IF(B276="","",IFERROR(INDEX(Keywords!$B$5:$B$165,MAX(ISNUMBER(SEARCH(Keywords!$A$5:$A$165,B276))*(Keywords!$A$5:$A$165&lt;&gt;"")*ROW(Keywords!$A$5:$A$165))-4),""))</f>
        <v/>
      </c>
      <c r="F276" s="150" t="str">
        <f aca="false">IF(B276="","",IF(L276="Transfer","Transfer",IF(L276="Income","Income",IF(D276&lt;&gt;"",D276,IF(E276&lt;&gt;"",E276,"Uncategorized")))))</f>
        <v/>
      </c>
      <c r="G276" s="108"/>
      <c r="H276" s="184" t="str">
        <f aca="false">IF(A276="","",DATE(YEAR(A276),MONTH(A276),1))</f>
        <v/>
      </c>
      <c r="I276" s="185"/>
      <c r="J276" s="144"/>
      <c r="K276" s="159" t="str">
        <f aca="false">IF(C276="","",N(C276)/IF(N276&lt;&gt;"",N276,IF(J276="",1,IFERROR(INDEX(Setup!$C$23:$C$46,MATCH(J276,Setup!$A$23:$A$46,0)),1))))</f>
        <v/>
      </c>
      <c r="L276" s="144"/>
      <c r="M276" s="108"/>
      <c r="N276" s="111"/>
      <c r="O276" s="156" t="str">
        <f aca="false">IF(OR(B276="",L276="Transfer"),"",IF(COUNTIFS($B$5:$B$604,B276,$H$5:$H$604,EDATE(H276,-1),$C$5:$C$604,"&gt;="&amp;C276*0.85,$C$5:$C$604,"&lt;="&amp;C276*1.15)&gt;0,"recurring",""))</f>
        <v/>
      </c>
      <c r="P276" s="157" t="str">
        <f aca="false">IF(B276="","",IF(COUNTIF(B276:$B$604,B276)=1,1,""))</f>
        <v/>
      </c>
      <c r="Q276" s="157" t="str">
        <f aca="false">IF(AND(O276="recurring",P276=1),COUNTIFS($O$5:O276,"recurring",$P$5:P276,1),"")</f>
        <v/>
      </c>
    </row>
    <row r="277" customFormat="false" ht="15" hidden="false" customHeight="false" outlineLevel="0" collapsed="false">
      <c r="A277" s="110"/>
      <c r="B277" s="108"/>
      <c r="C277" s="142"/>
      <c r="D277" s="108"/>
      <c r="E277" s="183" t="str">
        <f aca="false" t="array" ref="E277:E277">IF(B277="","",IFERROR(INDEX(Keywords!$B$5:$B$165,MAX(ISNUMBER(SEARCH(Keywords!$A$5:$A$165,B277))*(Keywords!$A$5:$A$165&lt;&gt;"")*ROW(Keywords!$A$5:$A$165))-4),""))</f>
        <v/>
      </c>
      <c r="F277" s="150" t="str">
        <f aca="false">IF(B277="","",IF(L277="Transfer","Transfer",IF(L277="Income","Income",IF(D277&lt;&gt;"",D277,IF(E277&lt;&gt;"",E277,"Uncategorized")))))</f>
        <v/>
      </c>
      <c r="G277" s="108"/>
      <c r="H277" s="184" t="str">
        <f aca="false">IF(A277="","",DATE(YEAR(A277),MONTH(A277),1))</f>
        <v/>
      </c>
      <c r="I277" s="185"/>
      <c r="J277" s="144"/>
      <c r="K277" s="159" t="str">
        <f aca="false">IF(C277="","",N(C277)/IF(N277&lt;&gt;"",N277,IF(J277="",1,IFERROR(INDEX(Setup!$C$23:$C$46,MATCH(J277,Setup!$A$23:$A$46,0)),1))))</f>
        <v/>
      </c>
      <c r="L277" s="144"/>
      <c r="M277" s="108"/>
      <c r="N277" s="111"/>
      <c r="O277" s="156" t="str">
        <f aca="false">IF(OR(B277="",L277="Transfer"),"",IF(COUNTIFS($B$5:$B$604,B277,$H$5:$H$604,EDATE(H277,-1),$C$5:$C$604,"&gt;="&amp;C277*0.85,$C$5:$C$604,"&lt;="&amp;C277*1.15)&gt;0,"recurring",""))</f>
        <v/>
      </c>
      <c r="P277" s="157" t="str">
        <f aca="false">IF(B277="","",IF(COUNTIF(B277:$B$604,B277)=1,1,""))</f>
        <v/>
      </c>
      <c r="Q277" s="157" t="str">
        <f aca="false">IF(AND(O277="recurring",P277=1),COUNTIFS($O$5:O277,"recurring",$P$5:P277,1),"")</f>
        <v/>
      </c>
    </row>
    <row r="278" customFormat="false" ht="15" hidden="false" customHeight="false" outlineLevel="0" collapsed="false">
      <c r="A278" s="110"/>
      <c r="B278" s="108"/>
      <c r="C278" s="142"/>
      <c r="D278" s="108"/>
      <c r="E278" s="183" t="str">
        <f aca="false" t="array" ref="E278:E278">IF(B278="","",IFERROR(INDEX(Keywords!$B$5:$B$165,MAX(ISNUMBER(SEARCH(Keywords!$A$5:$A$165,B278))*(Keywords!$A$5:$A$165&lt;&gt;"")*ROW(Keywords!$A$5:$A$165))-4),""))</f>
        <v/>
      </c>
      <c r="F278" s="150" t="str">
        <f aca="false">IF(B278="","",IF(L278="Transfer","Transfer",IF(L278="Income","Income",IF(D278&lt;&gt;"",D278,IF(E278&lt;&gt;"",E278,"Uncategorized")))))</f>
        <v/>
      </c>
      <c r="G278" s="108"/>
      <c r="H278" s="184" t="str">
        <f aca="false">IF(A278="","",DATE(YEAR(A278),MONTH(A278),1))</f>
        <v/>
      </c>
      <c r="I278" s="185"/>
      <c r="J278" s="144"/>
      <c r="K278" s="159" t="str">
        <f aca="false">IF(C278="","",N(C278)/IF(N278&lt;&gt;"",N278,IF(J278="",1,IFERROR(INDEX(Setup!$C$23:$C$46,MATCH(J278,Setup!$A$23:$A$46,0)),1))))</f>
        <v/>
      </c>
      <c r="L278" s="144"/>
      <c r="M278" s="108"/>
      <c r="N278" s="111"/>
      <c r="O278" s="156" t="str">
        <f aca="false">IF(OR(B278="",L278="Transfer"),"",IF(COUNTIFS($B$5:$B$604,B278,$H$5:$H$604,EDATE(H278,-1),$C$5:$C$604,"&gt;="&amp;C278*0.85,$C$5:$C$604,"&lt;="&amp;C278*1.15)&gt;0,"recurring",""))</f>
        <v/>
      </c>
      <c r="P278" s="157" t="str">
        <f aca="false">IF(B278="","",IF(COUNTIF(B278:$B$604,B278)=1,1,""))</f>
        <v/>
      </c>
      <c r="Q278" s="157" t="str">
        <f aca="false">IF(AND(O278="recurring",P278=1),COUNTIFS($O$5:O278,"recurring",$P$5:P278,1),"")</f>
        <v/>
      </c>
    </row>
    <row r="279" customFormat="false" ht="15" hidden="false" customHeight="false" outlineLevel="0" collapsed="false">
      <c r="A279" s="110"/>
      <c r="B279" s="108"/>
      <c r="C279" s="142"/>
      <c r="D279" s="108"/>
      <c r="E279" s="183" t="str">
        <f aca="false" t="array" ref="E279:E279">IF(B279="","",IFERROR(INDEX(Keywords!$B$5:$B$165,MAX(ISNUMBER(SEARCH(Keywords!$A$5:$A$165,B279))*(Keywords!$A$5:$A$165&lt;&gt;"")*ROW(Keywords!$A$5:$A$165))-4),""))</f>
        <v/>
      </c>
      <c r="F279" s="150" t="str">
        <f aca="false">IF(B279="","",IF(L279="Transfer","Transfer",IF(L279="Income","Income",IF(D279&lt;&gt;"",D279,IF(E279&lt;&gt;"",E279,"Uncategorized")))))</f>
        <v/>
      </c>
      <c r="G279" s="108"/>
      <c r="H279" s="184" t="str">
        <f aca="false">IF(A279="","",DATE(YEAR(A279),MONTH(A279),1))</f>
        <v/>
      </c>
      <c r="I279" s="185"/>
      <c r="J279" s="144"/>
      <c r="K279" s="159" t="str">
        <f aca="false">IF(C279="","",N(C279)/IF(N279&lt;&gt;"",N279,IF(J279="",1,IFERROR(INDEX(Setup!$C$23:$C$46,MATCH(J279,Setup!$A$23:$A$46,0)),1))))</f>
        <v/>
      </c>
      <c r="L279" s="144"/>
      <c r="M279" s="108"/>
      <c r="N279" s="111"/>
      <c r="O279" s="156" t="str">
        <f aca="false">IF(OR(B279="",L279="Transfer"),"",IF(COUNTIFS($B$5:$B$604,B279,$H$5:$H$604,EDATE(H279,-1),$C$5:$C$604,"&gt;="&amp;C279*0.85,$C$5:$C$604,"&lt;="&amp;C279*1.15)&gt;0,"recurring",""))</f>
        <v/>
      </c>
      <c r="P279" s="157" t="str">
        <f aca="false">IF(B279="","",IF(COUNTIF(B279:$B$604,B279)=1,1,""))</f>
        <v/>
      </c>
      <c r="Q279" s="157" t="str">
        <f aca="false">IF(AND(O279="recurring",P279=1),COUNTIFS($O$5:O279,"recurring",$P$5:P279,1),"")</f>
        <v/>
      </c>
    </row>
    <row r="280" customFormat="false" ht="15" hidden="false" customHeight="false" outlineLevel="0" collapsed="false">
      <c r="A280" s="110"/>
      <c r="B280" s="108"/>
      <c r="C280" s="142"/>
      <c r="D280" s="108"/>
      <c r="E280" s="183" t="str">
        <f aca="false" t="array" ref="E280:E280">IF(B280="","",IFERROR(INDEX(Keywords!$B$5:$B$165,MAX(ISNUMBER(SEARCH(Keywords!$A$5:$A$165,B280))*(Keywords!$A$5:$A$165&lt;&gt;"")*ROW(Keywords!$A$5:$A$165))-4),""))</f>
        <v/>
      </c>
      <c r="F280" s="150" t="str">
        <f aca="false">IF(B280="","",IF(L280="Transfer","Transfer",IF(L280="Income","Income",IF(D280&lt;&gt;"",D280,IF(E280&lt;&gt;"",E280,"Uncategorized")))))</f>
        <v/>
      </c>
      <c r="G280" s="108"/>
      <c r="H280" s="184" t="str">
        <f aca="false">IF(A280="","",DATE(YEAR(A280),MONTH(A280),1))</f>
        <v/>
      </c>
      <c r="I280" s="185"/>
      <c r="J280" s="144"/>
      <c r="K280" s="159" t="str">
        <f aca="false">IF(C280="","",N(C280)/IF(N280&lt;&gt;"",N280,IF(J280="",1,IFERROR(INDEX(Setup!$C$23:$C$46,MATCH(J280,Setup!$A$23:$A$46,0)),1))))</f>
        <v/>
      </c>
      <c r="L280" s="144"/>
      <c r="M280" s="108"/>
      <c r="N280" s="111"/>
      <c r="O280" s="156" t="str">
        <f aca="false">IF(OR(B280="",L280="Transfer"),"",IF(COUNTIFS($B$5:$B$604,B280,$H$5:$H$604,EDATE(H280,-1),$C$5:$C$604,"&gt;="&amp;C280*0.85,$C$5:$C$604,"&lt;="&amp;C280*1.15)&gt;0,"recurring",""))</f>
        <v/>
      </c>
      <c r="P280" s="157" t="str">
        <f aca="false">IF(B280="","",IF(COUNTIF(B280:$B$604,B280)=1,1,""))</f>
        <v/>
      </c>
      <c r="Q280" s="157" t="str">
        <f aca="false">IF(AND(O280="recurring",P280=1),COUNTIFS($O$5:O280,"recurring",$P$5:P280,1),"")</f>
        <v/>
      </c>
    </row>
    <row r="281" customFormat="false" ht="15" hidden="false" customHeight="false" outlineLevel="0" collapsed="false">
      <c r="A281" s="110"/>
      <c r="B281" s="108"/>
      <c r="C281" s="142"/>
      <c r="D281" s="108"/>
      <c r="E281" s="183" t="str">
        <f aca="false" t="array" ref="E281:E281">IF(B281="","",IFERROR(INDEX(Keywords!$B$5:$B$165,MAX(ISNUMBER(SEARCH(Keywords!$A$5:$A$165,B281))*(Keywords!$A$5:$A$165&lt;&gt;"")*ROW(Keywords!$A$5:$A$165))-4),""))</f>
        <v/>
      </c>
      <c r="F281" s="150" t="str">
        <f aca="false">IF(B281="","",IF(L281="Transfer","Transfer",IF(L281="Income","Income",IF(D281&lt;&gt;"",D281,IF(E281&lt;&gt;"",E281,"Uncategorized")))))</f>
        <v/>
      </c>
      <c r="G281" s="108"/>
      <c r="H281" s="184" t="str">
        <f aca="false">IF(A281="","",DATE(YEAR(A281),MONTH(A281),1))</f>
        <v/>
      </c>
      <c r="I281" s="185"/>
      <c r="J281" s="144"/>
      <c r="K281" s="159" t="str">
        <f aca="false">IF(C281="","",N(C281)/IF(N281&lt;&gt;"",N281,IF(J281="",1,IFERROR(INDEX(Setup!$C$23:$C$46,MATCH(J281,Setup!$A$23:$A$46,0)),1))))</f>
        <v/>
      </c>
      <c r="L281" s="144"/>
      <c r="M281" s="108"/>
      <c r="N281" s="111"/>
      <c r="O281" s="156" t="str">
        <f aca="false">IF(OR(B281="",L281="Transfer"),"",IF(COUNTIFS($B$5:$B$604,B281,$H$5:$H$604,EDATE(H281,-1),$C$5:$C$604,"&gt;="&amp;C281*0.85,$C$5:$C$604,"&lt;="&amp;C281*1.15)&gt;0,"recurring",""))</f>
        <v/>
      </c>
      <c r="P281" s="157" t="str">
        <f aca="false">IF(B281="","",IF(COUNTIF(B281:$B$604,B281)=1,1,""))</f>
        <v/>
      </c>
      <c r="Q281" s="157" t="str">
        <f aca="false">IF(AND(O281="recurring",P281=1),COUNTIFS($O$5:O281,"recurring",$P$5:P281,1),"")</f>
        <v/>
      </c>
    </row>
    <row r="282" customFormat="false" ht="15" hidden="false" customHeight="false" outlineLevel="0" collapsed="false">
      <c r="A282" s="110"/>
      <c r="B282" s="108"/>
      <c r="C282" s="142"/>
      <c r="D282" s="108"/>
      <c r="E282" s="183" t="str">
        <f aca="false" t="array" ref="E282:E282">IF(B282="","",IFERROR(INDEX(Keywords!$B$5:$B$165,MAX(ISNUMBER(SEARCH(Keywords!$A$5:$A$165,B282))*(Keywords!$A$5:$A$165&lt;&gt;"")*ROW(Keywords!$A$5:$A$165))-4),""))</f>
        <v/>
      </c>
      <c r="F282" s="150" t="str">
        <f aca="false">IF(B282="","",IF(L282="Transfer","Transfer",IF(L282="Income","Income",IF(D282&lt;&gt;"",D282,IF(E282&lt;&gt;"",E282,"Uncategorized")))))</f>
        <v/>
      </c>
      <c r="G282" s="108"/>
      <c r="H282" s="184" t="str">
        <f aca="false">IF(A282="","",DATE(YEAR(A282),MONTH(A282),1))</f>
        <v/>
      </c>
      <c r="I282" s="185"/>
      <c r="J282" s="144"/>
      <c r="K282" s="159" t="str">
        <f aca="false">IF(C282="","",N(C282)/IF(N282&lt;&gt;"",N282,IF(J282="",1,IFERROR(INDEX(Setup!$C$23:$C$46,MATCH(J282,Setup!$A$23:$A$46,0)),1))))</f>
        <v/>
      </c>
      <c r="L282" s="144"/>
      <c r="M282" s="108"/>
      <c r="N282" s="111"/>
      <c r="O282" s="156" t="str">
        <f aca="false">IF(OR(B282="",L282="Transfer"),"",IF(COUNTIFS($B$5:$B$604,B282,$H$5:$H$604,EDATE(H282,-1),$C$5:$C$604,"&gt;="&amp;C282*0.85,$C$5:$C$604,"&lt;="&amp;C282*1.15)&gt;0,"recurring",""))</f>
        <v/>
      </c>
      <c r="P282" s="157" t="str">
        <f aca="false">IF(B282="","",IF(COUNTIF(B282:$B$604,B282)=1,1,""))</f>
        <v/>
      </c>
      <c r="Q282" s="157" t="str">
        <f aca="false">IF(AND(O282="recurring",P282=1),COUNTIFS($O$5:O282,"recurring",$P$5:P282,1),"")</f>
        <v/>
      </c>
    </row>
    <row r="283" customFormat="false" ht="15" hidden="false" customHeight="false" outlineLevel="0" collapsed="false">
      <c r="A283" s="110"/>
      <c r="B283" s="108"/>
      <c r="C283" s="142"/>
      <c r="D283" s="108"/>
      <c r="E283" s="183" t="str">
        <f aca="false" t="array" ref="E283:E283">IF(B283="","",IFERROR(INDEX(Keywords!$B$5:$B$165,MAX(ISNUMBER(SEARCH(Keywords!$A$5:$A$165,B283))*(Keywords!$A$5:$A$165&lt;&gt;"")*ROW(Keywords!$A$5:$A$165))-4),""))</f>
        <v/>
      </c>
      <c r="F283" s="150" t="str">
        <f aca="false">IF(B283="","",IF(L283="Transfer","Transfer",IF(L283="Income","Income",IF(D283&lt;&gt;"",D283,IF(E283&lt;&gt;"",E283,"Uncategorized")))))</f>
        <v/>
      </c>
      <c r="G283" s="108"/>
      <c r="H283" s="184" t="str">
        <f aca="false">IF(A283="","",DATE(YEAR(A283),MONTH(A283),1))</f>
        <v/>
      </c>
      <c r="I283" s="185"/>
      <c r="J283" s="144"/>
      <c r="K283" s="159" t="str">
        <f aca="false">IF(C283="","",N(C283)/IF(N283&lt;&gt;"",N283,IF(J283="",1,IFERROR(INDEX(Setup!$C$23:$C$46,MATCH(J283,Setup!$A$23:$A$46,0)),1))))</f>
        <v/>
      </c>
      <c r="L283" s="144"/>
      <c r="M283" s="108"/>
      <c r="N283" s="111"/>
      <c r="O283" s="156" t="str">
        <f aca="false">IF(OR(B283="",L283="Transfer"),"",IF(COUNTIFS($B$5:$B$604,B283,$H$5:$H$604,EDATE(H283,-1),$C$5:$C$604,"&gt;="&amp;C283*0.85,$C$5:$C$604,"&lt;="&amp;C283*1.15)&gt;0,"recurring",""))</f>
        <v/>
      </c>
      <c r="P283" s="157" t="str">
        <f aca="false">IF(B283="","",IF(COUNTIF(B283:$B$604,B283)=1,1,""))</f>
        <v/>
      </c>
      <c r="Q283" s="157" t="str">
        <f aca="false">IF(AND(O283="recurring",P283=1),COUNTIFS($O$5:O283,"recurring",$P$5:P283,1),"")</f>
        <v/>
      </c>
    </row>
    <row r="284" customFormat="false" ht="15" hidden="false" customHeight="false" outlineLevel="0" collapsed="false">
      <c r="A284" s="110"/>
      <c r="B284" s="108"/>
      <c r="C284" s="142"/>
      <c r="D284" s="108"/>
      <c r="E284" s="183" t="str">
        <f aca="false" t="array" ref="E284:E284">IF(B284="","",IFERROR(INDEX(Keywords!$B$5:$B$165,MAX(ISNUMBER(SEARCH(Keywords!$A$5:$A$165,B284))*(Keywords!$A$5:$A$165&lt;&gt;"")*ROW(Keywords!$A$5:$A$165))-4),""))</f>
        <v/>
      </c>
      <c r="F284" s="150" t="str">
        <f aca="false">IF(B284="","",IF(L284="Transfer","Transfer",IF(L284="Income","Income",IF(D284&lt;&gt;"",D284,IF(E284&lt;&gt;"",E284,"Uncategorized")))))</f>
        <v/>
      </c>
      <c r="G284" s="108"/>
      <c r="H284" s="184" t="str">
        <f aca="false">IF(A284="","",DATE(YEAR(A284),MONTH(A284),1))</f>
        <v/>
      </c>
      <c r="I284" s="185"/>
      <c r="J284" s="144"/>
      <c r="K284" s="159" t="str">
        <f aca="false">IF(C284="","",N(C284)/IF(N284&lt;&gt;"",N284,IF(J284="",1,IFERROR(INDEX(Setup!$C$23:$C$46,MATCH(J284,Setup!$A$23:$A$46,0)),1))))</f>
        <v/>
      </c>
      <c r="L284" s="144"/>
      <c r="M284" s="108"/>
      <c r="N284" s="111"/>
      <c r="O284" s="156" t="str">
        <f aca="false">IF(OR(B284="",L284="Transfer"),"",IF(COUNTIFS($B$5:$B$604,B284,$H$5:$H$604,EDATE(H284,-1),$C$5:$C$604,"&gt;="&amp;C284*0.85,$C$5:$C$604,"&lt;="&amp;C284*1.15)&gt;0,"recurring",""))</f>
        <v/>
      </c>
      <c r="P284" s="157" t="str">
        <f aca="false">IF(B284="","",IF(COUNTIF(B284:$B$604,B284)=1,1,""))</f>
        <v/>
      </c>
      <c r="Q284" s="157" t="str">
        <f aca="false">IF(AND(O284="recurring",P284=1),COUNTIFS($O$5:O284,"recurring",$P$5:P284,1),"")</f>
        <v/>
      </c>
    </row>
    <row r="285" customFormat="false" ht="15" hidden="false" customHeight="false" outlineLevel="0" collapsed="false">
      <c r="A285" s="110"/>
      <c r="B285" s="108"/>
      <c r="C285" s="142"/>
      <c r="D285" s="108"/>
      <c r="E285" s="183" t="str">
        <f aca="false" t="array" ref="E285:E285">IF(B285="","",IFERROR(INDEX(Keywords!$B$5:$B$165,MAX(ISNUMBER(SEARCH(Keywords!$A$5:$A$165,B285))*(Keywords!$A$5:$A$165&lt;&gt;"")*ROW(Keywords!$A$5:$A$165))-4),""))</f>
        <v/>
      </c>
      <c r="F285" s="150" t="str">
        <f aca="false">IF(B285="","",IF(L285="Transfer","Transfer",IF(L285="Income","Income",IF(D285&lt;&gt;"",D285,IF(E285&lt;&gt;"",E285,"Uncategorized")))))</f>
        <v/>
      </c>
      <c r="G285" s="108"/>
      <c r="H285" s="184" t="str">
        <f aca="false">IF(A285="","",DATE(YEAR(A285),MONTH(A285),1))</f>
        <v/>
      </c>
      <c r="I285" s="185"/>
      <c r="J285" s="144"/>
      <c r="K285" s="159" t="str">
        <f aca="false">IF(C285="","",N(C285)/IF(N285&lt;&gt;"",N285,IF(J285="",1,IFERROR(INDEX(Setup!$C$23:$C$46,MATCH(J285,Setup!$A$23:$A$46,0)),1))))</f>
        <v/>
      </c>
      <c r="L285" s="144"/>
      <c r="M285" s="108"/>
      <c r="N285" s="111"/>
      <c r="O285" s="156" t="str">
        <f aca="false">IF(OR(B285="",L285="Transfer"),"",IF(COUNTIFS($B$5:$B$604,B285,$H$5:$H$604,EDATE(H285,-1),$C$5:$C$604,"&gt;="&amp;C285*0.85,$C$5:$C$604,"&lt;="&amp;C285*1.15)&gt;0,"recurring",""))</f>
        <v/>
      </c>
      <c r="P285" s="157" t="str">
        <f aca="false">IF(B285="","",IF(COUNTIF(B285:$B$604,B285)=1,1,""))</f>
        <v/>
      </c>
      <c r="Q285" s="157" t="str">
        <f aca="false">IF(AND(O285="recurring",P285=1),COUNTIFS($O$5:O285,"recurring",$P$5:P285,1),"")</f>
        <v/>
      </c>
    </row>
    <row r="286" customFormat="false" ht="15" hidden="false" customHeight="false" outlineLevel="0" collapsed="false">
      <c r="A286" s="110"/>
      <c r="B286" s="108"/>
      <c r="C286" s="142"/>
      <c r="D286" s="108"/>
      <c r="E286" s="183" t="str">
        <f aca="false" t="array" ref="E286:E286">IF(B286="","",IFERROR(INDEX(Keywords!$B$5:$B$165,MAX(ISNUMBER(SEARCH(Keywords!$A$5:$A$165,B286))*(Keywords!$A$5:$A$165&lt;&gt;"")*ROW(Keywords!$A$5:$A$165))-4),""))</f>
        <v/>
      </c>
      <c r="F286" s="150" t="str">
        <f aca="false">IF(B286="","",IF(L286="Transfer","Transfer",IF(L286="Income","Income",IF(D286&lt;&gt;"",D286,IF(E286&lt;&gt;"",E286,"Uncategorized")))))</f>
        <v/>
      </c>
      <c r="G286" s="108"/>
      <c r="H286" s="184" t="str">
        <f aca="false">IF(A286="","",DATE(YEAR(A286),MONTH(A286),1))</f>
        <v/>
      </c>
      <c r="I286" s="185"/>
      <c r="J286" s="144"/>
      <c r="K286" s="159" t="str">
        <f aca="false">IF(C286="","",N(C286)/IF(N286&lt;&gt;"",N286,IF(J286="",1,IFERROR(INDEX(Setup!$C$23:$C$46,MATCH(J286,Setup!$A$23:$A$46,0)),1))))</f>
        <v/>
      </c>
      <c r="L286" s="144"/>
      <c r="M286" s="108"/>
      <c r="N286" s="111"/>
      <c r="O286" s="156" t="str">
        <f aca="false">IF(OR(B286="",L286="Transfer"),"",IF(COUNTIFS($B$5:$B$604,B286,$H$5:$H$604,EDATE(H286,-1),$C$5:$C$604,"&gt;="&amp;C286*0.85,$C$5:$C$604,"&lt;="&amp;C286*1.15)&gt;0,"recurring",""))</f>
        <v/>
      </c>
      <c r="P286" s="157" t="str">
        <f aca="false">IF(B286="","",IF(COUNTIF(B286:$B$604,B286)=1,1,""))</f>
        <v/>
      </c>
      <c r="Q286" s="157" t="str">
        <f aca="false">IF(AND(O286="recurring",P286=1),COUNTIFS($O$5:O286,"recurring",$P$5:P286,1),"")</f>
        <v/>
      </c>
    </row>
    <row r="287" customFormat="false" ht="15" hidden="false" customHeight="false" outlineLevel="0" collapsed="false">
      <c r="A287" s="110"/>
      <c r="B287" s="108"/>
      <c r="C287" s="142"/>
      <c r="D287" s="108"/>
      <c r="E287" s="183" t="str">
        <f aca="false" t="array" ref="E287:E287">IF(B287="","",IFERROR(INDEX(Keywords!$B$5:$B$165,MAX(ISNUMBER(SEARCH(Keywords!$A$5:$A$165,B287))*(Keywords!$A$5:$A$165&lt;&gt;"")*ROW(Keywords!$A$5:$A$165))-4),""))</f>
        <v/>
      </c>
      <c r="F287" s="150" t="str">
        <f aca="false">IF(B287="","",IF(L287="Transfer","Transfer",IF(L287="Income","Income",IF(D287&lt;&gt;"",D287,IF(E287&lt;&gt;"",E287,"Uncategorized")))))</f>
        <v/>
      </c>
      <c r="G287" s="108"/>
      <c r="H287" s="184" t="str">
        <f aca="false">IF(A287="","",DATE(YEAR(A287),MONTH(A287),1))</f>
        <v/>
      </c>
      <c r="I287" s="185"/>
      <c r="J287" s="144"/>
      <c r="K287" s="159" t="str">
        <f aca="false">IF(C287="","",N(C287)/IF(N287&lt;&gt;"",N287,IF(J287="",1,IFERROR(INDEX(Setup!$C$23:$C$46,MATCH(J287,Setup!$A$23:$A$46,0)),1))))</f>
        <v/>
      </c>
      <c r="L287" s="144"/>
      <c r="M287" s="108"/>
      <c r="N287" s="111"/>
      <c r="O287" s="156" t="str">
        <f aca="false">IF(OR(B287="",L287="Transfer"),"",IF(COUNTIFS($B$5:$B$604,B287,$H$5:$H$604,EDATE(H287,-1),$C$5:$C$604,"&gt;="&amp;C287*0.85,$C$5:$C$604,"&lt;="&amp;C287*1.15)&gt;0,"recurring",""))</f>
        <v/>
      </c>
      <c r="P287" s="157" t="str">
        <f aca="false">IF(B287="","",IF(COUNTIF(B287:$B$604,B287)=1,1,""))</f>
        <v/>
      </c>
      <c r="Q287" s="157" t="str">
        <f aca="false">IF(AND(O287="recurring",P287=1),COUNTIFS($O$5:O287,"recurring",$P$5:P287,1),"")</f>
        <v/>
      </c>
    </row>
    <row r="288" customFormat="false" ht="15" hidden="false" customHeight="false" outlineLevel="0" collapsed="false">
      <c r="A288" s="110"/>
      <c r="B288" s="108"/>
      <c r="C288" s="142"/>
      <c r="D288" s="108"/>
      <c r="E288" s="183" t="str">
        <f aca="false" t="array" ref="E288:E288">IF(B288="","",IFERROR(INDEX(Keywords!$B$5:$B$165,MAX(ISNUMBER(SEARCH(Keywords!$A$5:$A$165,B288))*(Keywords!$A$5:$A$165&lt;&gt;"")*ROW(Keywords!$A$5:$A$165))-4),""))</f>
        <v/>
      </c>
      <c r="F288" s="150" t="str">
        <f aca="false">IF(B288="","",IF(L288="Transfer","Transfer",IF(L288="Income","Income",IF(D288&lt;&gt;"",D288,IF(E288&lt;&gt;"",E288,"Uncategorized")))))</f>
        <v/>
      </c>
      <c r="G288" s="108"/>
      <c r="H288" s="184" t="str">
        <f aca="false">IF(A288="","",DATE(YEAR(A288),MONTH(A288),1))</f>
        <v/>
      </c>
      <c r="I288" s="185"/>
      <c r="J288" s="144"/>
      <c r="K288" s="159" t="str">
        <f aca="false">IF(C288="","",N(C288)/IF(N288&lt;&gt;"",N288,IF(J288="",1,IFERROR(INDEX(Setup!$C$23:$C$46,MATCH(J288,Setup!$A$23:$A$46,0)),1))))</f>
        <v/>
      </c>
      <c r="L288" s="144"/>
      <c r="M288" s="108"/>
      <c r="N288" s="111"/>
      <c r="O288" s="156" t="str">
        <f aca="false">IF(OR(B288="",L288="Transfer"),"",IF(COUNTIFS($B$5:$B$604,B288,$H$5:$H$604,EDATE(H288,-1),$C$5:$C$604,"&gt;="&amp;C288*0.85,$C$5:$C$604,"&lt;="&amp;C288*1.15)&gt;0,"recurring",""))</f>
        <v/>
      </c>
      <c r="P288" s="157" t="str">
        <f aca="false">IF(B288="","",IF(COUNTIF(B288:$B$604,B288)=1,1,""))</f>
        <v/>
      </c>
      <c r="Q288" s="157" t="str">
        <f aca="false">IF(AND(O288="recurring",P288=1),COUNTIFS($O$5:O288,"recurring",$P$5:P288,1),"")</f>
        <v/>
      </c>
    </row>
    <row r="289" customFormat="false" ht="15" hidden="false" customHeight="false" outlineLevel="0" collapsed="false">
      <c r="A289" s="110"/>
      <c r="B289" s="108"/>
      <c r="C289" s="142"/>
      <c r="D289" s="108"/>
      <c r="E289" s="183" t="str">
        <f aca="false" t="array" ref="E289:E289">IF(B289="","",IFERROR(INDEX(Keywords!$B$5:$B$165,MAX(ISNUMBER(SEARCH(Keywords!$A$5:$A$165,B289))*(Keywords!$A$5:$A$165&lt;&gt;"")*ROW(Keywords!$A$5:$A$165))-4),""))</f>
        <v/>
      </c>
      <c r="F289" s="150" t="str">
        <f aca="false">IF(B289="","",IF(L289="Transfer","Transfer",IF(L289="Income","Income",IF(D289&lt;&gt;"",D289,IF(E289&lt;&gt;"",E289,"Uncategorized")))))</f>
        <v/>
      </c>
      <c r="G289" s="108"/>
      <c r="H289" s="184" t="str">
        <f aca="false">IF(A289="","",DATE(YEAR(A289),MONTH(A289),1))</f>
        <v/>
      </c>
      <c r="I289" s="185"/>
      <c r="J289" s="144"/>
      <c r="K289" s="159" t="str">
        <f aca="false">IF(C289="","",N(C289)/IF(N289&lt;&gt;"",N289,IF(J289="",1,IFERROR(INDEX(Setup!$C$23:$C$46,MATCH(J289,Setup!$A$23:$A$46,0)),1))))</f>
        <v/>
      </c>
      <c r="L289" s="144"/>
      <c r="M289" s="108"/>
      <c r="N289" s="111"/>
      <c r="O289" s="156" t="str">
        <f aca="false">IF(OR(B289="",L289="Transfer"),"",IF(COUNTIFS($B$5:$B$604,B289,$H$5:$H$604,EDATE(H289,-1),$C$5:$C$604,"&gt;="&amp;C289*0.85,$C$5:$C$604,"&lt;="&amp;C289*1.15)&gt;0,"recurring",""))</f>
        <v/>
      </c>
      <c r="P289" s="157" t="str">
        <f aca="false">IF(B289="","",IF(COUNTIF(B289:$B$604,B289)=1,1,""))</f>
        <v/>
      </c>
      <c r="Q289" s="157" t="str">
        <f aca="false">IF(AND(O289="recurring",P289=1),COUNTIFS($O$5:O289,"recurring",$P$5:P289,1),"")</f>
        <v/>
      </c>
    </row>
    <row r="290" customFormat="false" ht="15" hidden="false" customHeight="false" outlineLevel="0" collapsed="false">
      <c r="A290" s="110"/>
      <c r="B290" s="108"/>
      <c r="C290" s="142"/>
      <c r="D290" s="108"/>
      <c r="E290" s="183" t="str">
        <f aca="false" t="array" ref="E290:E290">IF(B290="","",IFERROR(INDEX(Keywords!$B$5:$B$165,MAX(ISNUMBER(SEARCH(Keywords!$A$5:$A$165,B290))*(Keywords!$A$5:$A$165&lt;&gt;"")*ROW(Keywords!$A$5:$A$165))-4),""))</f>
        <v/>
      </c>
      <c r="F290" s="150" t="str">
        <f aca="false">IF(B290="","",IF(L290="Transfer","Transfer",IF(L290="Income","Income",IF(D290&lt;&gt;"",D290,IF(E290&lt;&gt;"",E290,"Uncategorized")))))</f>
        <v/>
      </c>
      <c r="G290" s="108"/>
      <c r="H290" s="184" t="str">
        <f aca="false">IF(A290="","",DATE(YEAR(A290),MONTH(A290),1))</f>
        <v/>
      </c>
      <c r="I290" s="185"/>
      <c r="J290" s="144"/>
      <c r="K290" s="159" t="str">
        <f aca="false">IF(C290="","",N(C290)/IF(N290&lt;&gt;"",N290,IF(J290="",1,IFERROR(INDEX(Setup!$C$23:$C$46,MATCH(J290,Setup!$A$23:$A$46,0)),1))))</f>
        <v/>
      </c>
      <c r="L290" s="144"/>
      <c r="M290" s="108"/>
      <c r="N290" s="111"/>
      <c r="O290" s="156" t="str">
        <f aca="false">IF(OR(B290="",L290="Transfer"),"",IF(COUNTIFS($B$5:$B$604,B290,$H$5:$H$604,EDATE(H290,-1),$C$5:$C$604,"&gt;="&amp;C290*0.85,$C$5:$C$604,"&lt;="&amp;C290*1.15)&gt;0,"recurring",""))</f>
        <v/>
      </c>
      <c r="P290" s="157" t="str">
        <f aca="false">IF(B290="","",IF(COUNTIF(B290:$B$604,B290)=1,1,""))</f>
        <v/>
      </c>
      <c r="Q290" s="157" t="str">
        <f aca="false">IF(AND(O290="recurring",P290=1),COUNTIFS($O$5:O290,"recurring",$P$5:P290,1),"")</f>
        <v/>
      </c>
    </row>
    <row r="291" customFormat="false" ht="15" hidden="false" customHeight="false" outlineLevel="0" collapsed="false">
      <c r="A291" s="110"/>
      <c r="B291" s="108"/>
      <c r="C291" s="142"/>
      <c r="D291" s="108"/>
      <c r="E291" s="183" t="str">
        <f aca="false" t="array" ref="E291:E291">IF(B291="","",IFERROR(INDEX(Keywords!$B$5:$B$165,MAX(ISNUMBER(SEARCH(Keywords!$A$5:$A$165,B291))*(Keywords!$A$5:$A$165&lt;&gt;"")*ROW(Keywords!$A$5:$A$165))-4),""))</f>
        <v/>
      </c>
      <c r="F291" s="150" t="str">
        <f aca="false">IF(B291="","",IF(L291="Transfer","Transfer",IF(L291="Income","Income",IF(D291&lt;&gt;"",D291,IF(E291&lt;&gt;"",E291,"Uncategorized")))))</f>
        <v/>
      </c>
      <c r="G291" s="108"/>
      <c r="H291" s="184" t="str">
        <f aca="false">IF(A291="","",DATE(YEAR(A291),MONTH(A291),1))</f>
        <v/>
      </c>
      <c r="I291" s="185"/>
      <c r="J291" s="144"/>
      <c r="K291" s="159" t="str">
        <f aca="false">IF(C291="","",N(C291)/IF(N291&lt;&gt;"",N291,IF(J291="",1,IFERROR(INDEX(Setup!$C$23:$C$46,MATCH(J291,Setup!$A$23:$A$46,0)),1))))</f>
        <v/>
      </c>
      <c r="L291" s="144"/>
      <c r="M291" s="108"/>
      <c r="N291" s="111"/>
      <c r="O291" s="156" t="str">
        <f aca="false">IF(OR(B291="",L291="Transfer"),"",IF(COUNTIFS($B$5:$B$604,B291,$H$5:$H$604,EDATE(H291,-1),$C$5:$C$604,"&gt;="&amp;C291*0.85,$C$5:$C$604,"&lt;="&amp;C291*1.15)&gt;0,"recurring",""))</f>
        <v/>
      </c>
      <c r="P291" s="157" t="str">
        <f aca="false">IF(B291="","",IF(COUNTIF(B291:$B$604,B291)=1,1,""))</f>
        <v/>
      </c>
      <c r="Q291" s="157" t="str">
        <f aca="false">IF(AND(O291="recurring",P291=1),COUNTIFS($O$5:O291,"recurring",$P$5:P291,1),"")</f>
        <v/>
      </c>
    </row>
    <row r="292" customFormat="false" ht="15" hidden="false" customHeight="false" outlineLevel="0" collapsed="false">
      <c r="A292" s="110"/>
      <c r="B292" s="108"/>
      <c r="C292" s="142"/>
      <c r="D292" s="108"/>
      <c r="E292" s="183" t="str">
        <f aca="false" t="array" ref="E292:E292">IF(B292="","",IFERROR(INDEX(Keywords!$B$5:$B$165,MAX(ISNUMBER(SEARCH(Keywords!$A$5:$A$165,B292))*(Keywords!$A$5:$A$165&lt;&gt;"")*ROW(Keywords!$A$5:$A$165))-4),""))</f>
        <v/>
      </c>
      <c r="F292" s="150" t="str">
        <f aca="false">IF(B292="","",IF(L292="Transfer","Transfer",IF(L292="Income","Income",IF(D292&lt;&gt;"",D292,IF(E292&lt;&gt;"",E292,"Uncategorized")))))</f>
        <v/>
      </c>
      <c r="G292" s="108"/>
      <c r="H292" s="184" t="str">
        <f aca="false">IF(A292="","",DATE(YEAR(A292),MONTH(A292),1))</f>
        <v/>
      </c>
      <c r="I292" s="185"/>
      <c r="J292" s="144"/>
      <c r="K292" s="159" t="str">
        <f aca="false">IF(C292="","",N(C292)/IF(N292&lt;&gt;"",N292,IF(J292="",1,IFERROR(INDEX(Setup!$C$23:$C$46,MATCH(J292,Setup!$A$23:$A$46,0)),1))))</f>
        <v/>
      </c>
      <c r="L292" s="144"/>
      <c r="M292" s="108"/>
      <c r="N292" s="111"/>
      <c r="O292" s="156" t="str">
        <f aca="false">IF(OR(B292="",L292="Transfer"),"",IF(COUNTIFS($B$5:$B$604,B292,$H$5:$H$604,EDATE(H292,-1),$C$5:$C$604,"&gt;="&amp;C292*0.85,$C$5:$C$604,"&lt;="&amp;C292*1.15)&gt;0,"recurring",""))</f>
        <v/>
      </c>
      <c r="P292" s="157" t="str">
        <f aca="false">IF(B292="","",IF(COUNTIF(B292:$B$604,B292)=1,1,""))</f>
        <v/>
      </c>
      <c r="Q292" s="157" t="str">
        <f aca="false">IF(AND(O292="recurring",P292=1),COUNTIFS($O$5:O292,"recurring",$P$5:P292,1),"")</f>
        <v/>
      </c>
    </row>
    <row r="293" customFormat="false" ht="15" hidden="false" customHeight="false" outlineLevel="0" collapsed="false">
      <c r="A293" s="110"/>
      <c r="B293" s="108"/>
      <c r="C293" s="142"/>
      <c r="D293" s="108"/>
      <c r="E293" s="183" t="str">
        <f aca="false" t="array" ref="E293:E293">IF(B293="","",IFERROR(INDEX(Keywords!$B$5:$B$165,MAX(ISNUMBER(SEARCH(Keywords!$A$5:$A$165,B293))*(Keywords!$A$5:$A$165&lt;&gt;"")*ROW(Keywords!$A$5:$A$165))-4),""))</f>
        <v/>
      </c>
      <c r="F293" s="150" t="str">
        <f aca="false">IF(B293="","",IF(L293="Transfer","Transfer",IF(L293="Income","Income",IF(D293&lt;&gt;"",D293,IF(E293&lt;&gt;"",E293,"Uncategorized")))))</f>
        <v/>
      </c>
      <c r="G293" s="108"/>
      <c r="H293" s="184" t="str">
        <f aca="false">IF(A293="","",DATE(YEAR(A293),MONTH(A293),1))</f>
        <v/>
      </c>
      <c r="I293" s="185"/>
      <c r="J293" s="144"/>
      <c r="K293" s="159" t="str">
        <f aca="false">IF(C293="","",N(C293)/IF(N293&lt;&gt;"",N293,IF(J293="",1,IFERROR(INDEX(Setup!$C$23:$C$46,MATCH(J293,Setup!$A$23:$A$46,0)),1))))</f>
        <v/>
      </c>
      <c r="L293" s="144"/>
      <c r="M293" s="108"/>
      <c r="N293" s="111"/>
      <c r="O293" s="156" t="str">
        <f aca="false">IF(OR(B293="",L293="Transfer"),"",IF(COUNTIFS($B$5:$B$604,B293,$H$5:$H$604,EDATE(H293,-1),$C$5:$C$604,"&gt;="&amp;C293*0.85,$C$5:$C$604,"&lt;="&amp;C293*1.15)&gt;0,"recurring",""))</f>
        <v/>
      </c>
      <c r="P293" s="157" t="str">
        <f aca="false">IF(B293="","",IF(COUNTIF(B293:$B$604,B293)=1,1,""))</f>
        <v/>
      </c>
      <c r="Q293" s="157" t="str">
        <f aca="false">IF(AND(O293="recurring",P293=1),COUNTIFS($O$5:O293,"recurring",$P$5:P293,1),"")</f>
        <v/>
      </c>
    </row>
    <row r="294" customFormat="false" ht="15" hidden="false" customHeight="false" outlineLevel="0" collapsed="false">
      <c r="A294" s="110"/>
      <c r="B294" s="108"/>
      <c r="C294" s="142"/>
      <c r="D294" s="108"/>
      <c r="E294" s="183" t="str">
        <f aca="false" t="array" ref="E294:E294">IF(B294="","",IFERROR(INDEX(Keywords!$B$5:$B$165,MAX(ISNUMBER(SEARCH(Keywords!$A$5:$A$165,B294))*(Keywords!$A$5:$A$165&lt;&gt;"")*ROW(Keywords!$A$5:$A$165))-4),""))</f>
        <v/>
      </c>
      <c r="F294" s="150" t="str">
        <f aca="false">IF(B294="","",IF(L294="Transfer","Transfer",IF(L294="Income","Income",IF(D294&lt;&gt;"",D294,IF(E294&lt;&gt;"",E294,"Uncategorized")))))</f>
        <v/>
      </c>
      <c r="G294" s="108"/>
      <c r="H294" s="184" t="str">
        <f aca="false">IF(A294="","",DATE(YEAR(A294),MONTH(A294),1))</f>
        <v/>
      </c>
      <c r="I294" s="185"/>
      <c r="J294" s="144"/>
      <c r="K294" s="159" t="str">
        <f aca="false">IF(C294="","",N(C294)/IF(N294&lt;&gt;"",N294,IF(J294="",1,IFERROR(INDEX(Setup!$C$23:$C$46,MATCH(J294,Setup!$A$23:$A$46,0)),1))))</f>
        <v/>
      </c>
      <c r="L294" s="144"/>
      <c r="M294" s="108"/>
      <c r="N294" s="111"/>
      <c r="O294" s="156" t="str">
        <f aca="false">IF(OR(B294="",L294="Transfer"),"",IF(COUNTIFS($B$5:$B$604,B294,$H$5:$H$604,EDATE(H294,-1),$C$5:$C$604,"&gt;="&amp;C294*0.85,$C$5:$C$604,"&lt;="&amp;C294*1.15)&gt;0,"recurring",""))</f>
        <v/>
      </c>
      <c r="P294" s="157" t="str">
        <f aca="false">IF(B294="","",IF(COUNTIF(B294:$B$604,B294)=1,1,""))</f>
        <v/>
      </c>
      <c r="Q294" s="157" t="str">
        <f aca="false">IF(AND(O294="recurring",P294=1),COUNTIFS($O$5:O294,"recurring",$P$5:P294,1),"")</f>
        <v/>
      </c>
    </row>
    <row r="295" customFormat="false" ht="15" hidden="false" customHeight="false" outlineLevel="0" collapsed="false">
      <c r="A295" s="110"/>
      <c r="B295" s="108"/>
      <c r="C295" s="142"/>
      <c r="D295" s="108"/>
      <c r="E295" s="183" t="str">
        <f aca="false" t="array" ref="E295:E295">IF(B295="","",IFERROR(INDEX(Keywords!$B$5:$B$165,MAX(ISNUMBER(SEARCH(Keywords!$A$5:$A$165,B295))*(Keywords!$A$5:$A$165&lt;&gt;"")*ROW(Keywords!$A$5:$A$165))-4),""))</f>
        <v/>
      </c>
      <c r="F295" s="150" t="str">
        <f aca="false">IF(B295="","",IF(L295="Transfer","Transfer",IF(L295="Income","Income",IF(D295&lt;&gt;"",D295,IF(E295&lt;&gt;"",E295,"Uncategorized")))))</f>
        <v/>
      </c>
      <c r="G295" s="108"/>
      <c r="H295" s="184" t="str">
        <f aca="false">IF(A295="","",DATE(YEAR(A295),MONTH(A295),1))</f>
        <v/>
      </c>
      <c r="I295" s="185"/>
      <c r="J295" s="144"/>
      <c r="K295" s="159" t="str">
        <f aca="false">IF(C295="","",N(C295)/IF(N295&lt;&gt;"",N295,IF(J295="",1,IFERROR(INDEX(Setup!$C$23:$C$46,MATCH(J295,Setup!$A$23:$A$46,0)),1))))</f>
        <v/>
      </c>
      <c r="L295" s="144"/>
      <c r="M295" s="108"/>
      <c r="N295" s="111"/>
      <c r="O295" s="156" t="str">
        <f aca="false">IF(OR(B295="",L295="Transfer"),"",IF(COUNTIFS($B$5:$B$604,B295,$H$5:$H$604,EDATE(H295,-1),$C$5:$C$604,"&gt;="&amp;C295*0.85,$C$5:$C$604,"&lt;="&amp;C295*1.15)&gt;0,"recurring",""))</f>
        <v/>
      </c>
      <c r="P295" s="157" t="str">
        <f aca="false">IF(B295="","",IF(COUNTIF(B295:$B$604,B295)=1,1,""))</f>
        <v/>
      </c>
      <c r="Q295" s="157" t="str">
        <f aca="false">IF(AND(O295="recurring",P295=1),COUNTIFS($O$5:O295,"recurring",$P$5:P295,1),"")</f>
        <v/>
      </c>
    </row>
    <row r="296" customFormat="false" ht="15" hidden="false" customHeight="false" outlineLevel="0" collapsed="false">
      <c r="A296" s="110"/>
      <c r="B296" s="108"/>
      <c r="C296" s="142"/>
      <c r="D296" s="108"/>
      <c r="E296" s="183" t="str">
        <f aca="false" t="array" ref="E296:E296">IF(B296="","",IFERROR(INDEX(Keywords!$B$5:$B$165,MAX(ISNUMBER(SEARCH(Keywords!$A$5:$A$165,B296))*(Keywords!$A$5:$A$165&lt;&gt;"")*ROW(Keywords!$A$5:$A$165))-4),""))</f>
        <v/>
      </c>
      <c r="F296" s="150" t="str">
        <f aca="false">IF(B296="","",IF(L296="Transfer","Transfer",IF(L296="Income","Income",IF(D296&lt;&gt;"",D296,IF(E296&lt;&gt;"",E296,"Uncategorized")))))</f>
        <v/>
      </c>
      <c r="G296" s="108"/>
      <c r="H296" s="184" t="str">
        <f aca="false">IF(A296="","",DATE(YEAR(A296),MONTH(A296),1))</f>
        <v/>
      </c>
      <c r="I296" s="185"/>
      <c r="J296" s="144"/>
      <c r="K296" s="159" t="str">
        <f aca="false">IF(C296="","",N(C296)/IF(N296&lt;&gt;"",N296,IF(J296="",1,IFERROR(INDEX(Setup!$C$23:$C$46,MATCH(J296,Setup!$A$23:$A$46,0)),1))))</f>
        <v/>
      </c>
      <c r="L296" s="144"/>
      <c r="M296" s="108"/>
      <c r="N296" s="111"/>
      <c r="O296" s="156" t="str">
        <f aca="false">IF(OR(B296="",L296="Transfer"),"",IF(COUNTIFS($B$5:$B$604,B296,$H$5:$H$604,EDATE(H296,-1),$C$5:$C$604,"&gt;="&amp;C296*0.85,$C$5:$C$604,"&lt;="&amp;C296*1.15)&gt;0,"recurring",""))</f>
        <v/>
      </c>
      <c r="P296" s="157" t="str">
        <f aca="false">IF(B296="","",IF(COUNTIF(B296:$B$604,B296)=1,1,""))</f>
        <v/>
      </c>
      <c r="Q296" s="157" t="str">
        <f aca="false">IF(AND(O296="recurring",P296=1),COUNTIFS($O$5:O296,"recurring",$P$5:P296,1),"")</f>
        <v/>
      </c>
    </row>
    <row r="297" customFormat="false" ht="15" hidden="false" customHeight="false" outlineLevel="0" collapsed="false">
      <c r="A297" s="110"/>
      <c r="B297" s="108"/>
      <c r="C297" s="142"/>
      <c r="D297" s="108"/>
      <c r="E297" s="183" t="str">
        <f aca="false" t="array" ref="E297:E297">IF(B297="","",IFERROR(INDEX(Keywords!$B$5:$B$165,MAX(ISNUMBER(SEARCH(Keywords!$A$5:$A$165,B297))*(Keywords!$A$5:$A$165&lt;&gt;"")*ROW(Keywords!$A$5:$A$165))-4),""))</f>
        <v/>
      </c>
      <c r="F297" s="150" t="str">
        <f aca="false">IF(B297="","",IF(L297="Transfer","Transfer",IF(L297="Income","Income",IF(D297&lt;&gt;"",D297,IF(E297&lt;&gt;"",E297,"Uncategorized")))))</f>
        <v/>
      </c>
      <c r="G297" s="108"/>
      <c r="H297" s="184" t="str">
        <f aca="false">IF(A297="","",DATE(YEAR(A297),MONTH(A297),1))</f>
        <v/>
      </c>
      <c r="I297" s="185"/>
      <c r="J297" s="144"/>
      <c r="K297" s="159" t="str">
        <f aca="false">IF(C297="","",N(C297)/IF(N297&lt;&gt;"",N297,IF(J297="",1,IFERROR(INDEX(Setup!$C$23:$C$46,MATCH(J297,Setup!$A$23:$A$46,0)),1))))</f>
        <v/>
      </c>
      <c r="L297" s="144"/>
      <c r="M297" s="108"/>
      <c r="N297" s="111"/>
      <c r="O297" s="156" t="str">
        <f aca="false">IF(OR(B297="",L297="Transfer"),"",IF(COUNTIFS($B$5:$B$604,B297,$H$5:$H$604,EDATE(H297,-1),$C$5:$C$604,"&gt;="&amp;C297*0.85,$C$5:$C$604,"&lt;="&amp;C297*1.15)&gt;0,"recurring",""))</f>
        <v/>
      </c>
      <c r="P297" s="157" t="str">
        <f aca="false">IF(B297="","",IF(COUNTIF(B297:$B$604,B297)=1,1,""))</f>
        <v/>
      </c>
      <c r="Q297" s="157" t="str">
        <f aca="false">IF(AND(O297="recurring",P297=1),COUNTIFS($O$5:O297,"recurring",$P$5:P297,1),"")</f>
        <v/>
      </c>
    </row>
    <row r="298" customFormat="false" ht="15" hidden="false" customHeight="false" outlineLevel="0" collapsed="false">
      <c r="A298" s="110"/>
      <c r="B298" s="108"/>
      <c r="C298" s="142"/>
      <c r="D298" s="108"/>
      <c r="E298" s="183" t="str">
        <f aca="false" t="array" ref="E298:E298">IF(B298="","",IFERROR(INDEX(Keywords!$B$5:$B$165,MAX(ISNUMBER(SEARCH(Keywords!$A$5:$A$165,B298))*(Keywords!$A$5:$A$165&lt;&gt;"")*ROW(Keywords!$A$5:$A$165))-4),""))</f>
        <v/>
      </c>
      <c r="F298" s="150" t="str">
        <f aca="false">IF(B298="","",IF(L298="Transfer","Transfer",IF(L298="Income","Income",IF(D298&lt;&gt;"",D298,IF(E298&lt;&gt;"",E298,"Uncategorized")))))</f>
        <v/>
      </c>
      <c r="G298" s="108"/>
      <c r="H298" s="184" t="str">
        <f aca="false">IF(A298="","",DATE(YEAR(A298),MONTH(A298),1))</f>
        <v/>
      </c>
      <c r="I298" s="185"/>
      <c r="J298" s="144"/>
      <c r="K298" s="159" t="str">
        <f aca="false">IF(C298="","",N(C298)/IF(N298&lt;&gt;"",N298,IF(J298="",1,IFERROR(INDEX(Setup!$C$23:$C$46,MATCH(J298,Setup!$A$23:$A$46,0)),1))))</f>
        <v/>
      </c>
      <c r="L298" s="144"/>
      <c r="M298" s="108"/>
      <c r="N298" s="111"/>
      <c r="O298" s="156" t="str">
        <f aca="false">IF(OR(B298="",L298="Transfer"),"",IF(COUNTIFS($B$5:$B$604,B298,$H$5:$H$604,EDATE(H298,-1),$C$5:$C$604,"&gt;="&amp;C298*0.85,$C$5:$C$604,"&lt;="&amp;C298*1.15)&gt;0,"recurring",""))</f>
        <v/>
      </c>
      <c r="P298" s="157" t="str">
        <f aca="false">IF(B298="","",IF(COUNTIF(B298:$B$604,B298)=1,1,""))</f>
        <v/>
      </c>
      <c r="Q298" s="157" t="str">
        <f aca="false">IF(AND(O298="recurring",P298=1),COUNTIFS($O$5:O298,"recurring",$P$5:P298,1),"")</f>
        <v/>
      </c>
    </row>
    <row r="299" customFormat="false" ht="15" hidden="false" customHeight="false" outlineLevel="0" collapsed="false">
      <c r="A299" s="110"/>
      <c r="B299" s="108"/>
      <c r="C299" s="142"/>
      <c r="D299" s="108"/>
      <c r="E299" s="183" t="str">
        <f aca="false" t="array" ref="E299:E299">IF(B299="","",IFERROR(INDEX(Keywords!$B$5:$B$165,MAX(ISNUMBER(SEARCH(Keywords!$A$5:$A$165,B299))*(Keywords!$A$5:$A$165&lt;&gt;"")*ROW(Keywords!$A$5:$A$165))-4),""))</f>
        <v/>
      </c>
      <c r="F299" s="150" t="str">
        <f aca="false">IF(B299="","",IF(L299="Transfer","Transfer",IF(L299="Income","Income",IF(D299&lt;&gt;"",D299,IF(E299&lt;&gt;"",E299,"Uncategorized")))))</f>
        <v/>
      </c>
      <c r="G299" s="108"/>
      <c r="H299" s="184" t="str">
        <f aca="false">IF(A299="","",DATE(YEAR(A299),MONTH(A299),1))</f>
        <v/>
      </c>
      <c r="I299" s="185"/>
      <c r="J299" s="144"/>
      <c r="K299" s="159" t="str">
        <f aca="false">IF(C299="","",N(C299)/IF(N299&lt;&gt;"",N299,IF(J299="",1,IFERROR(INDEX(Setup!$C$23:$C$46,MATCH(J299,Setup!$A$23:$A$46,0)),1))))</f>
        <v/>
      </c>
      <c r="L299" s="144"/>
      <c r="M299" s="108"/>
      <c r="N299" s="111"/>
      <c r="O299" s="156" t="str">
        <f aca="false">IF(OR(B299="",L299="Transfer"),"",IF(COUNTIFS($B$5:$B$604,B299,$H$5:$H$604,EDATE(H299,-1),$C$5:$C$604,"&gt;="&amp;C299*0.85,$C$5:$C$604,"&lt;="&amp;C299*1.15)&gt;0,"recurring",""))</f>
        <v/>
      </c>
      <c r="P299" s="157" t="str">
        <f aca="false">IF(B299="","",IF(COUNTIF(B299:$B$604,B299)=1,1,""))</f>
        <v/>
      </c>
      <c r="Q299" s="157" t="str">
        <f aca="false">IF(AND(O299="recurring",P299=1),COUNTIFS($O$5:O299,"recurring",$P$5:P299,1),"")</f>
        <v/>
      </c>
    </row>
    <row r="300" customFormat="false" ht="15" hidden="false" customHeight="false" outlineLevel="0" collapsed="false">
      <c r="A300" s="110"/>
      <c r="B300" s="108"/>
      <c r="C300" s="142"/>
      <c r="D300" s="108"/>
      <c r="E300" s="183" t="str">
        <f aca="false" t="array" ref="E300:E300">IF(B300="","",IFERROR(INDEX(Keywords!$B$5:$B$165,MAX(ISNUMBER(SEARCH(Keywords!$A$5:$A$165,B300))*(Keywords!$A$5:$A$165&lt;&gt;"")*ROW(Keywords!$A$5:$A$165))-4),""))</f>
        <v/>
      </c>
      <c r="F300" s="150" t="str">
        <f aca="false">IF(B300="","",IF(L300="Transfer","Transfer",IF(L300="Income","Income",IF(D300&lt;&gt;"",D300,IF(E300&lt;&gt;"",E300,"Uncategorized")))))</f>
        <v/>
      </c>
      <c r="G300" s="108"/>
      <c r="H300" s="184" t="str">
        <f aca="false">IF(A300="","",DATE(YEAR(A300),MONTH(A300),1))</f>
        <v/>
      </c>
      <c r="I300" s="185"/>
      <c r="J300" s="144"/>
      <c r="K300" s="159" t="str">
        <f aca="false">IF(C300="","",N(C300)/IF(N300&lt;&gt;"",N300,IF(J300="",1,IFERROR(INDEX(Setup!$C$23:$C$46,MATCH(J300,Setup!$A$23:$A$46,0)),1))))</f>
        <v/>
      </c>
      <c r="L300" s="144"/>
      <c r="M300" s="108"/>
      <c r="N300" s="111"/>
      <c r="O300" s="156" t="str">
        <f aca="false">IF(OR(B300="",L300="Transfer"),"",IF(COUNTIFS($B$5:$B$604,B300,$H$5:$H$604,EDATE(H300,-1),$C$5:$C$604,"&gt;="&amp;C300*0.85,$C$5:$C$604,"&lt;="&amp;C300*1.15)&gt;0,"recurring",""))</f>
        <v/>
      </c>
      <c r="P300" s="157" t="str">
        <f aca="false">IF(B300="","",IF(COUNTIF(B300:$B$604,B300)=1,1,""))</f>
        <v/>
      </c>
      <c r="Q300" s="157" t="str">
        <f aca="false">IF(AND(O300="recurring",P300=1),COUNTIFS($O$5:O300,"recurring",$P$5:P300,1),"")</f>
        <v/>
      </c>
    </row>
    <row r="301" customFormat="false" ht="15" hidden="false" customHeight="false" outlineLevel="0" collapsed="false">
      <c r="A301" s="110"/>
      <c r="B301" s="108"/>
      <c r="C301" s="142"/>
      <c r="D301" s="108"/>
      <c r="E301" s="183" t="str">
        <f aca="false" t="array" ref="E301:E301">IF(B301="","",IFERROR(INDEX(Keywords!$B$5:$B$165,MAX(ISNUMBER(SEARCH(Keywords!$A$5:$A$165,B301))*(Keywords!$A$5:$A$165&lt;&gt;"")*ROW(Keywords!$A$5:$A$165))-4),""))</f>
        <v/>
      </c>
      <c r="F301" s="150" t="str">
        <f aca="false">IF(B301="","",IF(L301="Transfer","Transfer",IF(L301="Income","Income",IF(D301&lt;&gt;"",D301,IF(E301&lt;&gt;"",E301,"Uncategorized")))))</f>
        <v/>
      </c>
      <c r="G301" s="108"/>
      <c r="H301" s="184" t="str">
        <f aca="false">IF(A301="","",DATE(YEAR(A301),MONTH(A301),1))</f>
        <v/>
      </c>
      <c r="I301" s="185"/>
      <c r="J301" s="144"/>
      <c r="K301" s="159" t="str">
        <f aca="false">IF(C301="","",N(C301)/IF(N301&lt;&gt;"",N301,IF(J301="",1,IFERROR(INDEX(Setup!$C$23:$C$46,MATCH(J301,Setup!$A$23:$A$46,0)),1))))</f>
        <v/>
      </c>
      <c r="L301" s="144"/>
      <c r="M301" s="108"/>
      <c r="N301" s="111"/>
      <c r="O301" s="156" t="str">
        <f aca="false">IF(OR(B301="",L301="Transfer"),"",IF(COUNTIFS($B$5:$B$604,B301,$H$5:$H$604,EDATE(H301,-1),$C$5:$C$604,"&gt;="&amp;C301*0.85,$C$5:$C$604,"&lt;="&amp;C301*1.15)&gt;0,"recurring",""))</f>
        <v/>
      </c>
      <c r="P301" s="157" t="str">
        <f aca="false">IF(B301="","",IF(COUNTIF(B301:$B$604,B301)=1,1,""))</f>
        <v/>
      </c>
      <c r="Q301" s="157" t="str">
        <f aca="false">IF(AND(O301="recurring",P301=1),COUNTIFS($O$5:O301,"recurring",$P$5:P301,1),"")</f>
        <v/>
      </c>
    </row>
    <row r="302" customFormat="false" ht="15" hidden="false" customHeight="false" outlineLevel="0" collapsed="false">
      <c r="A302" s="110"/>
      <c r="B302" s="108"/>
      <c r="C302" s="142"/>
      <c r="D302" s="108"/>
      <c r="E302" s="183" t="str">
        <f aca="false" t="array" ref="E302:E302">IF(B302="","",IFERROR(INDEX(Keywords!$B$5:$B$165,MAX(ISNUMBER(SEARCH(Keywords!$A$5:$A$165,B302))*(Keywords!$A$5:$A$165&lt;&gt;"")*ROW(Keywords!$A$5:$A$165))-4),""))</f>
        <v/>
      </c>
      <c r="F302" s="150" t="str">
        <f aca="false">IF(B302="","",IF(L302="Transfer","Transfer",IF(L302="Income","Income",IF(D302&lt;&gt;"",D302,IF(E302&lt;&gt;"",E302,"Uncategorized")))))</f>
        <v/>
      </c>
      <c r="G302" s="108"/>
      <c r="H302" s="184" t="str">
        <f aca="false">IF(A302="","",DATE(YEAR(A302),MONTH(A302),1))</f>
        <v/>
      </c>
      <c r="I302" s="185"/>
      <c r="J302" s="144"/>
      <c r="K302" s="159" t="str">
        <f aca="false">IF(C302="","",N(C302)/IF(N302&lt;&gt;"",N302,IF(J302="",1,IFERROR(INDEX(Setup!$C$23:$C$46,MATCH(J302,Setup!$A$23:$A$46,0)),1))))</f>
        <v/>
      </c>
      <c r="L302" s="144"/>
      <c r="M302" s="108"/>
      <c r="N302" s="111"/>
      <c r="O302" s="156" t="str">
        <f aca="false">IF(OR(B302="",L302="Transfer"),"",IF(COUNTIFS($B$5:$B$604,B302,$H$5:$H$604,EDATE(H302,-1),$C$5:$C$604,"&gt;="&amp;C302*0.85,$C$5:$C$604,"&lt;="&amp;C302*1.15)&gt;0,"recurring",""))</f>
        <v/>
      </c>
      <c r="P302" s="157" t="str">
        <f aca="false">IF(B302="","",IF(COUNTIF(B302:$B$604,B302)=1,1,""))</f>
        <v/>
      </c>
      <c r="Q302" s="157" t="str">
        <f aca="false">IF(AND(O302="recurring",P302=1),COUNTIFS($O$5:O302,"recurring",$P$5:P302,1),"")</f>
        <v/>
      </c>
    </row>
    <row r="303" customFormat="false" ht="15" hidden="false" customHeight="false" outlineLevel="0" collapsed="false">
      <c r="A303" s="110"/>
      <c r="B303" s="108"/>
      <c r="C303" s="142"/>
      <c r="D303" s="108"/>
      <c r="E303" s="183" t="str">
        <f aca="false" t="array" ref="E303:E303">IF(B303="","",IFERROR(INDEX(Keywords!$B$5:$B$165,MAX(ISNUMBER(SEARCH(Keywords!$A$5:$A$165,B303))*(Keywords!$A$5:$A$165&lt;&gt;"")*ROW(Keywords!$A$5:$A$165))-4),""))</f>
        <v/>
      </c>
      <c r="F303" s="150" t="str">
        <f aca="false">IF(B303="","",IF(L303="Transfer","Transfer",IF(L303="Income","Income",IF(D303&lt;&gt;"",D303,IF(E303&lt;&gt;"",E303,"Uncategorized")))))</f>
        <v/>
      </c>
      <c r="G303" s="108"/>
      <c r="H303" s="184" t="str">
        <f aca="false">IF(A303="","",DATE(YEAR(A303),MONTH(A303),1))</f>
        <v/>
      </c>
      <c r="I303" s="185"/>
      <c r="J303" s="144"/>
      <c r="K303" s="159" t="str">
        <f aca="false">IF(C303="","",N(C303)/IF(N303&lt;&gt;"",N303,IF(J303="",1,IFERROR(INDEX(Setup!$C$23:$C$46,MATCH(J303,Setup!$A$23:$A$46,0)),1))))</f>
        <v/>
      </c>
      <c r="L303" s="144"/>
      <c r="M303" s="108"/>
      <c r="N303" s="111"/>
      <c r="O303" s="156" t="str">
        <f aca="false">IF(OR(B303="",L303="Transfer"),"",IF(COUNTIFS($B$5:$B$604,B303,$H$5:$H$604,EDATE(H303,-1),$C$5:$C$604,"&gt;="&amp;C303*0.85,$C$5:$C$604,"&lt;="&amp;C303*1.15)&gt;0,"recurring",""))</f>
        <v/>
      </c>
      <c r="P303" s="157" t="str">
        <f aca="false">IF(B303="","",IF(COUNTIF(B303:$B$604,B303)=1,1,""))</f>
        <v/>
      </c>
      <c r="Q303" s="157" t="str">
        <f aca="false">IF(AND(O303="recurring",P303=1),COUNTIFS($O$5:O303,"recurring",$P$5:P303,1),"")</f>
        <v/>
      </c>
    </row>
    <row r="304" customFormat="false" ht="15" hidden="false" customHeight="false" outlineLevel="0" collapsed="false">
      <c r="A304" s="110"/>
      <c r="B304" s="108"/>
      <c r="C304" s="142"/>
      <c r="D304" s="108"/>
      <c r="E304" s="183" t="str">
        <f aca="false" t="array" ref="E304:E304">IF(B304="","",IFERROR(INDEX(Keywords!$B$5:$B$165,MAX(ISNUMBER(SEARCH(Keywords!$A$5:$A$165,B304))*(Keywords!$A$5:$A$165&lt;&gt;"")*ROW(Keywords!$A$5:$A$165))-4),""))</f>
        <v/>
      </c>
      <c r="F304" s="150" t="str">
        <f aca="false">IF(B304="","",IF(L304="Transfer","Transfer",IF(L304="Income","Income",IF(D304&lt;&gt;"",D304,IF(E304&lt;&gt;"",E304,"Uncategorized")))))</f>
        <v/>
      </c>
      <c r="G304" s="108"/>
      <c r="H304" s="184" t="str">
        <f aca="false">IF(A304="","",DATE(YEAR(A304),MONTH(A304),1))</f>
        <v/>
      </c>
      <c r="I304" s="185"/>
      <c r="J304" s="144"/>
      <c r="K304" s="159" t="str">
        <f aca="false">IF(C304="","",N(C304)/IF(N304&lt;&gt;"",N304,IF(J304="",1,IFERROR(INDEX(Setup!$C$23:$C$46,MATCH(J304,Setup!$A$23:$A$46,0)),1))))</f>
        <v/>
      </c>
      <c r="L304" s="144"/>
      <c r="M304" s="108"/>
      <c r="N304" s="111"/>
      <c r="O304" s="156" t="str">
        <f aca="false">IF(OR(B304="",L304="Transfer"),"",IF(COUNTIFS($B$5:$B$604,B304,$H$5:$H$604,EDATE(H304,-1),$C$5:$C$604,"&gt;="&amp;C304*0.85,$C$5:$C$604,"&lt;="&amp;C304*1.15)&gt;0,"recurring",""))</f>
        <v/>
      </c>
      <c r="P304" s="157" t="str">
        <f aca="false">IF(B304="","",IF(COUNTIF(B304:$B$604,B304)=1,1,""))</f>
        <v/>
      </c>
      <c r="Q304" s="157" t="str">
        <f aca="false">IF(AND(O304="recurring",P304=1),COUNTIFS($O$5:O304,"recurring",$P$5:P304,1),"")</f>
        <v/>
      </c>
    </row>
    <row r="305" customFormat="false" ht="15" hidden="false" customHeight="false" outlineLevel="0" collapsed="false">
      <c r="A305" s="110"/>
      <c r="B305" s="108"/>
      <c r="C305" s="142"/>
      <c r="D305" s="108"/>
      <c r="E305" s="183" t="str">
        <f aca="false" t="array" ref="E305:E305">IF(B305="","",IFERROR(INDEX(Keywords!$B$5:$B$165,MAX(ISNUMBER(SEARCH(Keywords!$A$5:$A$165,B305))*(Keywords!$A$5:$A$165&lt;&gt;"")*ROW(Keywords!$A$5:$A$165))-4),""))</f>
        <v/>
      </c>
      <c r="F305" s="150" t="str">
        <f aca="false">IF(B305="","",IF(L305="Transfer","Transfer",IF(L305="Income","Income",IF(D305&lt;&gt;"",D305,IF(E305&lt;&gt;"",E305,"Uncategorized")))))</f>
        <v/>
      </c>
      <c r="G305" s="108"/>
      <c r="H305" s="184" t="str">
        <f aca="false">IF(A305="","",DATE(YEAR(A305),MONTH(A305),1))</f>
        <v/>
      </c>
      <c r="I305" s="185"/>
      <c r="J305" s="144"/>
      <c r="K305" s="159" t="str">
        <f aca="false">IF(C305="","",N(C305)/IF(N305&lt;&gt;"",N305,IF(J305="",1,IFERROR(INDEX(Setup!$C$23:$C$46,MATCH(J305,Setup!$A$23:$A$46,0)),1))))</f>
        <v/>
      </c>
      <c r="L305" s="144"/>
      <c r="M305" s="108"/>
      <c r="N305" s="111"/>
      <c r="O305" s="156" t="str">
        <f aca="false">IF(OR(B305="",L305="Transfer"),"",IF(COUNTIFS($B$5:$B$604,B305,$H$5:$H$604,EDATE(H305,-1),$C$5:$C$604,"&gt;="&amp;C305*0.85,$C$5:$C$604,"&lt;="&amp;C305*1.15)&gt;0,"recurring",""))</f>
        <v/>
      </c>
      <c r="P305" s="157" t="str">
        <f aca="false">IF(B305="","",IF(COUNTIF(B305:$B$604,B305)=1,1,""))</f>
        <v/>
      </c>
      <c r="Q305" s="157" t="str">
        <f aca="false">IF(AND(O305="recurring",P305=1),COUNTIFS($O$5:O305,"recurring",$P$5:P305,1),"")</f>
        <v/>
      </c>
    </row>
    <row r="306" customFormat="false" ht="15" hidden="false" customHeight="false" outlineLevel="0" collapsed="false">
      <c r="A306" s="110"/>
      <c r="B306" s="108"/>
      <c r="C306" s="142"/>
      <c r="D306" s="108"/>
      <c r="E306" s="183" t="str">
        <f aca="false" t="array" ref="E306:E306">IF(B306="","",IFERROR(INDEX(Keywords!$B$5:$B$165,MAX(ISNUMBER(SEARCH(Keywords!$A$5:$A$165,B306))*(Keywords!$A$5:$A$165&lt;&gt;"")*ROW(Keywords!$A$5:$A$165))-4),""))</f>
        <v/>
      </c>
      <c r="F306" s="150" t="str">
        <f aca="false">IF(B306="","",IF(L306="Transfer","Transfer",IF(L306="Income","Income",IF(D306&lt;&gt;"",D306,IF(E306&lt;&gt;"",E306,"Uncategorized")))))</f>
        <v/>
      </c>
      <c r="G306" s="108"/>
      <c r="H306" s="184" t="str">
        <f aca="false">IF(A306="","",DATE(YEAR(A306),MONTH(A306),1))</f>
        <v/>
      </c>
      <c r="I306" s="185"/>
      <c r="J306" s="144"/>
      <c r="K306" s="159" t="str">
        <f aca="false">IF(C306="","",N(C306)/IF(N306&lt;&gt;"",N306,IF(J306="",1,IFERROR(INDEX(Setup!$C$23:$C$46,MATCH(J306,Setup!$A$23:$A$46,0)),1))))</f>
        <v/>
      </c>
      <c r="L306" s="144"/>
      <c r="M306" s="108"/>
      <c r="N306" s="111"/>
      <c r="O306" s="156" t="str">
        <f aca="false">IF(OR(B306="",L306="Transfer"),"",IF(COUNTIFS($B$5:$B$604,B306,$H$5:$H$604,EDATE(H306,-1),$C$5:$C$604,"&gt;="&amp;C306*0.85,$C$5:$C$604,"&lt;="&amp;C306*1.15)&gt;0,"recurring",""))</f>
        <v/>
      </c>
      <c r="P306" s="157" t="str">
        <f aca="false">IF(B306="","",IF(COUNTIF(B306:$B$604,B306)=1,1,""))</f>
        <v/>
      </c>
      <c r="Q306" s="157" t="str">
        <f aca="false">IF(AND(O306="recurring",P306=1),COUNTIFS($O$5:O306,"recurring",$P$5:P306,1),"")</f>
        <v/>
      </c>
    </row>
    <row r="307" customFormat="false" ht="15" hidden="false" customHeight="false" outlineLevel="0" collapsed="false">
      <c r="A307" s="110"/>
      <c r="B307" s="108"/>
      <c r="C307" s="142"/>
      <c r="D307" s="108"/>
      <c r="E307" s="183" t="str">
        <f aca="false" t="array" ref="E307:E307">IF(B307="","",IFERROR(INDEX(Keywords!$B$5:$B$165,MAX(ISNUMBER(SEARCH(Keywords!$A$5:$A$165,B307))*(Keywords!$A$5:$A$165&lt;&gt;"")*ROW(Keywords!$A$5:$A$165))-4),""))</f>
        <v/>
      </c>
      <c r="F307" s="150" t="str">
        <f aca="false">IF(B307="","",IF(L307="Transfer","Transfer",IF(L307="Income","Income",IF(D307&lt;&gt;"",D307,IF(E307&lt;&gt;"",E307,"Uncategorized")))))</f>
        <v/>
      </c>
      <c r="G307" s="108"/>
      <c r="H307" s="184" t="str">
        <f aca="false">IF(A307="","",DATE(YEAR(A307),MONTH(A307),1))</f>
        <v/>
      </c>
      <c r="I307" s="185"/>
      <c r="J307" s="144"/>
      <c r="K307" s="159" t="str">
        <f aca="false">IF(C307="","",N(C307)/IF(N307&lt;&gt;"",N307,IF(J307="",1,IFERROR(INDEX(Setup!$C$23:$C$46,MATCH(J307,Setup!$A$23:$A$46,0)),1))))</f>
        <v/>
      </c>
      <c r="L307" s="144"/>
      <c r="M307" s="108"/>
      <c r="N307" s="111"/>
      <c r="O307" s="156" t="str">
        <f aca="false">IF(OR(B307="",L307="Transfer"),"",IF(COUNTIFS($B$5:$B$604,B307,$H$5:$H$604,EDATE(H307,-1),$C$5:$C$604,"&gt;="&amp;C307*0.85,$C$5:$C$604,"&lt;="&amp;C307*1.15)&gt;0,"recurring",""))</f>
        <v/>
      </c>
      <c r="P307" s="157" t="str">
        <f aca="false">IF(B307="","",IF(COUNTIF(B307:$B$604,B307)=1,1,""))</f>
        <v/>
      </c>
      <c r="Q307" s="157" t="str">
        <f aca="false">IF(AND(O307="recurring",P307=1),COUNTIFS($O$5:O307,"recurring",$P$5:P307,1),"")</f>
        <v/>
      </c>
    </row>
    <row r="308" customFormat="false" ht="15" hidden="false" customHeight="false" outlineLevel="0" collapsed="false">
      <c r="A308" s="110"/>
      <c r="B308" s="108"/>
      <c r="C308" s="142"/>
      <c r="D308" s="108"/>
      <c r="E308" s="183" t="str">
        <f aca="false" t="array" ref="E308:E308">IF(B308="","",IFERROR(INDEX(Keywords!$B$5:$B$165,MAX(ISNUMBER(SEARCH(Keywords!$A$5:$A$165,B308))*(Keywords!$A$5:$A$165&lt;&gt;"")*ROW(Keywords!$A$5:$A$165))-4),""))</f>
        <v/>
      </c>
      <c r="F308" s="150" t="str">
        <f aca="false">IF(B308="","",IF(L308="Transfer","Transfer",IF(L308="Income","Income",IF(D308&lt;&gt;"",D308,IF(E308&lt;&gt;"",E308,"Uncategorized")))))</f>
        <v/>
      </c>
      <c r="G308" s="108"/>
      <c r="H308" s="184" t="str">
        <f aca="false">IF(A308="","",DATE(YEAR(A308),MONTH(A308),1))</f>
        <v/>
      </c>
      <c r="I308" s="185"/>
      <c r="J308" s="144"/>
      <c r="K308" s="159" t="str">
        <f aca="false">IF(C308="","",N(C308)/IF(N308&lt;&gt;"",N308,IF(J308="",1,IFERROR(INDEX(Setup!$C$23:$C$46,MATCH(J308,Setup!$A$23:$A$46,0)),1))))</f>
        <v/>
      </c>
      <c r="L308" s="144"/>
      <c r="M308" s="108"/>
      <c r="N308" s="111"/>
      <c r="O308" s="156" t="str">
        <f aca="false">IF(OR(B308="",L308="Transfer"),"",IF(COUNTIFS($B$5:$B$604,B308,$H$5:$H$604,EDATE(H308,-1),$C$5:$C$604,"&gt;="&amp;C308*0.85,$C$5:$C$604,"&lt;="&amp;C308*1.15)&gt;0,"recurring",""))</f>
        <v/>
      </c>
      <c r="P308" s="157" t="str">
        <f aca="false">IF(B308="","",IF(COUNTIF(B308:$B$604,B308)=1,1,""))</f>
        <v/>
      </c>
      <c r="Q308" s="157" t="str">
        <f aca="false">IF(AND(O308="recurring",P308=1),COUNTIFS($O$5:O308,"recurring",$P$5:P308,1),"")</f>
        <v/>
      </c>
    </row>
    <row r="309" customFormat="false" ht="15" hidden="false" customHeight="false" outlineLevel="0" collapsed="false">
      <c r="A309" s="110"/>
      <c r="B309" s="108"/>
      <c r="C309" s="142"/>
      <c r="D309" s="108"/>
      <c r="E309" s="183" t="str">
        <f aca="false" t="array" ref="E309:E309">IF(B309="","",IFERROR(INDEX(Keywords!$B$5:$B$165,MAX(ISNUMBER(SEARCH(Keywords!$A$5:$A$165,B309))*(Keywords!$A$5:$A$165&lt;&gt;"")*ROW(Keywords!$A$5:$A$165))-4),""))</f>
        <v/>
      </c>
      <c r="F309" s="150" t="str">
        <f aca="false">IF(B309="","",IF(L309="Transfer","Transfer",IF(L309="Income","Income",IF(D309&lt;&gt;"",D309,IF(E309&lt;&gt;"",E309,"Uncategorized")))))</f>
        <v/>
      </c>
      <c r="G309" s="108"/>
      <c r="H309" s="184" t="str">
        <f aca="false">IF(A309="","",DATE(YEAR(A309),MONTH(A309),1))</f>
        <v/>
      </c>
      <c r="I309" s="185"/>
      <c r="J309" s="144"/>
      <c r="K309" s="159" t="str">
        <f aca="false">IF(C309="","",N(C309)/IF(N309&lt;&gt;"",N309,IF(J309="",1,IFERROR(INDEX(Setup!$C$23:$C$46,MATCH(J309,Setup!$A$23:$A$46,0)),1))))</f>
        <v/>
      </c>
      <c r="L309" s="144"/>
      <c r="M309" s="108"/>
      <c r="N309" s="111"/>
      <c r="O309" s="156" t="str">
        <f aca="false">IF(OR(B309="",L309="Transfer"),"",IF(COUNTIFS($B$5:$B$604,B309,$H$5:$H$604,EDATE(H309,-1),$C$5:$C$604,"&gt;="&amp;C309*0.85,$C$5:$C$604,"&lt;="&amp;C309*1.15)&gt;0,"recurring",""))</f>
        <v/>
      </c>
      <c r="P309" s="157" t="str">
        <f aca="false">IF(B309="","",IF(COUNTIF(B309:$B$604,B309)=1,1,""))</f>
        <v/>
      </c>
      <c r="Q309" s="157" t="str">
        <f aca="false">IF(AND(O309="recurring",P309=1),COUNTIFS($O$5:O309,"recurring",$P$5:P309,1),"")</f>
        <v/>
      </c>
    </row>
    <row r="310" customFormat="false" ht="15" hidden="false" customHeight="false" outlineLevel="0" collapsed="false">
      <c r="A310" s="110"/>
      <c r="B310" s="108"/>
      <c r="C310" s="142"/>
      <c r="D310" s="108"/>
      <c r="E310" s="183" t="str">
        <f aca="false" t="array" ref="E310:E310">IF(B310="","",IFERROR(INDEX(Keywords!$B$5:$B$165,MAX(ISNUMBER(SEARCH(Keywords!$A$5:$A$165,B310))*(Keywords!$A$5:$A$165&lt;&gt;"")*ROW(Keywords!$A$5:$A$165))-4),""))</f>
        <v/>
      </c>
      <c r="F310" s="150" t="str">
        <f aca="false">IF(B310="","",IF(L310="Transfer","Transfer",IF(L310="Income","Income",IF(D310&lt;&gt;"",D310,IF(E310&lt;&gt;"",E310,"Uncategorized")))))</f>
        <v/>
      </c>
      <c r="G310" s="108"/>
      <c r="H310" s="184" t="str">
        <f aca="false">IF(A310="","",DATE(YEAR(A310),MONTH(A310),1))</f>
        <v/>
      </c>
      <c r="I310" s="185"/>
      <c r="J310" s="144"/>
      <c r="K310" s="159" t="str">
        <f aca="false">IF(C310="","",N(C310)/IF(N310&lt;&gt;"",N310,IF(J310="",1,IFERROR(INDEX(Setup!$C$23:$C$46,MATCH(J310,Setup!$A$23:$A$46,0)),1))))</f>
        <v/>
      </c>
      <c r="L310" s="144"/>
      <c r="M310" s="108"/>
      <c r="N310" s="111"/>
      <c r="O310" s="156" t="str">
        <f aca="false">IF(OR(B310="",L310="Transfer"),"",IF(COUNTIFS($B$5:$B$604,B310,$H$5:$H$604,EDATE(H310,-1),$C$5:$C$604,"&gt;="&amp;C310*0.85,$C$5:$C$604,"&lt;="&amp;C310*1.15)&gt;0,"recurring",""))</f>
        <v/>
      </c>
      <c r="P310" s="157" t="str">
        <f aca="false">IF(B310="","",IF(COUNTIF(B310:$B$604,B310)=1,1,""))</f>
        <v/>
      </c>
      <c r="Q310" s="157" t="str">
        <f aca="false">IF(AND(O310="recurring",P310=1),COUNTIFS($O$5:O310,"recurring",$P$5:P310,1),"")</f>
        <v/>
      </c>
    </row>
    <row r="311" customFormat="false" ht="15" hidden="false" customHeight="false" outlineLevel="0" collapsed="false">
      <c r="A311" s="110"/>
      <c r="B311" s="108"/>
      <c r="C311" s="142"/>
      <c r="D311" s="108"/>
      <c r="E311" s="183" t="str">
        <f aca="false" t="array" ref="E311:E311">IF(B311="","",IFERROR(INDEX(Keywords!$B$5:$B$165,MAX(ISNUMBER(SEARCH(Keywords!$A$5:$A$165,B311))*(Keywords!$A$5:$A$165&lt;&gt;"")*ROW(Keywords!$A$5:$A$165))-4),""))</f>
        <v/>
      </c>
      <c r="F311" s="150" t="str">
        <f aca="false">IF(B311="","",IF(L311="Transfer","Transfer",IF(L311="Income","Income",IF(D311&lt;&gt;"",D311,IF(E311&lt;&gt;"",E311,"Uncategorized")))))</f>
        <v/>
      </c>
      <c r="G311" s="108"/>
      <c r="H311" s="184" t="str">
        <f aca="false">IF(A311="","",DATE(YEAR(A311),MONTH(A311),1))</f>
        <v/>
      </c>
      <c r="I311" s="185"/>
      <c r="J311" s="144"/>
      <c r="K311" s="159" t="str">
        <f aca="false">IF(C311="","",N(C311)/IF(N311&lt;&gt;"",N311,IF(J311="",1,IFERROR(INDEX(Setup!$C$23:$C$46,MATCH(J311,Setup!$A$23:$A$46,0)),1))))</f>
        <v/>
      </c>
      <c r="L311" s="144"/>
      <c r="M311" s="108"/>
      <c r="N311" s="111"/>
      <c r="O311" s="156" t="str">
        <f aca="false">IF(OR(B311="",L311="Transfer"),"",IF(COUNTIFS($B$5:$B$604,B311,$H$5:$H$604,EDATE(H311,-1),$C$5:$C$604,"&gt;="&amp;C311*0.85,$C$5:$C$604,"&lt;="&amp;C311*1.15)&gt;0,"recurring",""))</f>
        <v/>
      </c>
      <c r="P311" s="157" t="str">
        <f aca="false">IF(B311="","",IF(COUNTIF(B311:$B$604,B311)=1,1,""))</f>
        <v/>
      </c>
      <c r="Q311" s="157" t="str">
        <f aca="false">IF(AND(O311="recurring",P311=1),COUNTIFS($O$5:O311,"recurring",$P$5:P311,1),"")</f>
        <v/>
      </c>
    </row>
    <row r="312" customFormat="false" ht="15" hidden="false" customHeight="false" outlineLevel="0" collapsed="false">
      <c r="A312" s="110"/>
      <c r="B312" s="108"/>
      <c r="C312" s="142"/>
      <c r="D312" s="108"/>
      <c r="E312" s="183" t="str">
        <f aca="false" t="array" ref="E312:E312">IF(B312="","",IFERROR(INDEX(Keywords!$B$5:$B$165,MAX(ISNUMBER(SEARCH(Keywords!$A$5:$A$165,B312))*(Keywords!$A$5:$A$165&lt;&gt;"")*ROW(Keywords!$A$5:$A$165))-4),""))</f>
        <v/>
      </c>
      <c r="F312" s="150" t="str">
        <f aca="false">IF(B312="","",IF(L312="Transfer","Transfer",IF(L312="Income","Income",IF(D312&lt;&gt;"",D312,IF(E312&lt;&gt;"",E312,"Uncategorized")))))</f>
        <v/>
      </c>
      <c r="G312" s="108"/>
      <c r="H312" s="184" t="str">
        <f aca="false">IF(A312="","",DATE(YEAR(A312),MONTH(A312),1))</f>
        <v/>
      </c>
      <c r="I312" s="185"/>
      <c r="J312" s="144"/>
      <c r="K312" s="159" t="str">
        <f aca="false">IF(C312="","",N(C312)/IF(N312&lt;&gt;"",N312,IF(J312="",1,IFERROR(INDEX(Setup!$C$23:$C$46,MATCH(J312,Setup!$A$23:$A$46,0)),1))))</f>
        <v/>
      </c>
      <c r="L312" s="144"/>
      <c r="M312" s="108"/>
      <c r="N312" s="111"/>
      <c r="O312" s="156" t="str">
        <f aca="false">IF(OR(B312="",L312="Transfer"),"",IF(COUNTIFS($B$5:$B$604,B312,$H$5:$H$604,EDATE(H312,-1),$C$5:$C$604,"&gt;="&amp;C312*0.85,$C$5:$C$604,"&lt;="&amp;C312*1.15)&gt;0,"recurring",""))</f>
        <v/>
      </c>
      <c r="P312" s="157" t="str">
        <f aca="false">IF(B312="","",IF(COUNTIF(B312:$B$604,B312)=1,1,""))</f>
        <v/>
      </c>
      <c r="Q312" s="157" t="str">
        <f aca="false">IF(AND(O312="recurring",P312=1),COUNTIFS($O$5:O312,"recurring",$P$5:P312,1),"")</f>
        <v/>
      </c>
    </row>
    <row r="313" customFormat="false" ht="15" hidden="false" customHeight="false" outlineLevel="0" collapsed="false">
      <c r="A313" s="110"/>
      <c r="B313" s="108"/>
      <c r="C313" s="142"/>
      <c r="D313" s="108"/>
      <c r="E313" s="183" t="str">
        <f aca="false" t="array" ref="E313:E313">IF(B313="","",IFERROR(INDEX(Keywords!$B$5:$B$165,MAX(ISNUMBER(SEARCH(Keywords!$A$5:$A$165,B313))*(Keywords!$A$5:$A$165&lt;&gt;"")*ROW(Keywords!$A$5:$A$165))-4),""))</f>
        <v/>
      </c>
      <c r="F313" s="150" t="str">
        <f aca="false">IF(B313="","",IF(L313="Transfer","Transfer",IF(L313="Income","Income",IF(D313&lt;&gt;"",D313,IF(E313&lt;&gt;"",E313,"Uncategorized")))))</f>
        <v/>
      </c>
      <c r="G313" s="108"/>
      <c r="H313" s="184" t="str">
        <f aca="false">IF(A313="","",DATE(YEAR(A313),MONTH(A313),1))</f>
        <v/>
      </c>
      <c r="I313" s="185"/>
      <c r="J313" s="144"/>
      <c r="K313" s="159" t="str">
        <f aca="false">IF(C313="","",N(C313)/IF(N313&lt;&gt;"",N313,IF(J313="",1,IFERROR(INDEX(Setup!$C$23:$C$46,MATCH(J313,Setup!$A$23:$A$46,0)),1))))</f>
        <v/>
      </c>
      <c r="L313" s="144"/>
      <c r="M313" s="108"/>
      <c r="N313" s="111"/>
      <c r="O313" s="156" t="str">
        <f aca="false">IF(OR(B313="",L313="Transfer"),"",IF(COUNTIFS($B$5:$B$604,B313,$H$5:$H$604,EDATE(H313,-1),$C$5:$C$604,"&gt;="&amp;C313*0.85,$C$5:$C$604,"&lt;="&amp;C313*1.15)&gt;0,"recurring",""))</f>
        <v/>
      </c>
      <c r="P313" s="157" t="str">
        <f aca="false">IF(B313="","",IF(COUNTIF(B313:$B$604,B313)=1,1,""))</f>
        <v/>
      </c>
      <c r="Q313" s="157" t="str">
        <f aca="false">IF(AND(O313="recurring",P313=1),COUNTIFS($O$5:O313,"recurring",$P$5:P313,1),"")</f>
        <v/>
      </c>
    </row>
    <row r="314" customFormat="false" ht="15" hidden="false" customHeight="false" outlineLevel="0" collapsed="false">
      <c r="A314" s="110"/>
      <c r="B314" s="108"/>
      <c r="C314" s="142"/>
      <c r="D314" s="108"/>
      <c r="E314" s="183" t="str">
        <f aca="false" t="array" ref="E314:E314">IF(B314="","",IFERROR(INDEX(Keywords!$B$5:$B$165,MAX(ISNUMBER(SEARCH(Keywords!$A$5:$A$165,B314))*(Keywords!$A$5:$A$165&lt;&gt;"")*ROW(Keywords!$A$5:$A$165))-4),""))</f>
        <v/>
      </c>
      <c r="F314" s="150" t="str">
        <f aca="false">IF(B314="","",IF(L314="Transfer","Transfer",IF(L314="Income","Income",IF(D314&lt;&gt;"",D314,IF(E314&lt;&gt;"",E314,"Uncategorized")))))</f>
        <v/>
      </c>
      <c r="G314" s="108"/>
      <c r="H314" s="184" t="str">
        <f aca="false">IF(A314="","",DATE(YEAR(A314),MONTH(A314),1))</f>
        <v/>
      </c>
      <c r="I314" s="185"/>
      <c r="J314" s="144"/>
      <c r="K314" s="159" t="str">
        <f aca="false">IF(C314="","",N(C314)/IF(N314&lt;&gt;"",N314,IF(J314="",1,IFERROR(INDEX(Setup!$C$23:$C$46,MATCH(J314,Setup!$A$23:$A$46,0)),1))))</f>
        <v/>
      </c>
      <c r="L314" s="144"/>
      <c r="M314" s="108"/>
      <c r="N314" s="111"/>
      <c r="O314" s="156" t="str">
        <f aca="false">IF(OR(B314="",L314="Transfer"),"",IF(COUNTIFS($B$5:$B$604,B314,$H$5:$H$604,EDATE(H314,-1),$C$5:$C$604,"&gt;="&amp;C314*0.85,$C$5:$C$604,"&lt;="&amp;C314*1.15)&gt;0,"recurring",""))</f>
        <v/>
      </c>
      <c r="P314" s="157" t="str">
        <f aca="false">IF(B314="","",IF(COUNTIF(B314:$B$604,B314)=1,1,""))</f>
        <v/>
      </c>
      <c r="Q314" s="157" t="str">
        <f aca="false">IF(AND(O314="recurring",P314=1),COUNTIFS($O$5:O314,"recurring",$P$5:P314,1),"")</f>
        <v/>
      </c>
    </row>
    <row r="315" customFormat="false" ht="15" hidden="false" customHeight="false" outlineLevel="0" collapsed="false">
      <c r="A315" s="110"/>
      <c r="B315" s="108"/>
      <c r="C315" s="142"/>
      <c r="D315" s="108"/>
      <c r="E315" s="183" t="str">
        <f aca="false" t="array" ref="E315:E315">IF(B315="","",IFERROR(INDEX(Keywords!$B$5:$B$165,MAX(ISNUMBER(SEARCH(Keywords!$A$5:$A$165,B315))*(Keywords!$A$5:$A$165&lt;&gt;"")*ROW(Keywords!$A$5:$A$165))-4),""))</f>
        <v/>
      </c>
      <c r="F315" s="150" t="str">
        <f aca="false">IF(B315="","",IF(L315="Transfer","Transfer",IF(L315="Income","Income",IF(D315&lt;&gt;"",D315,IF(E315&lt;&gt;"",E315,"Uncategorized")))))</f>
        <v/>
      </c>
      <c r="G315" s="108"/>
      <c r="H315" s="184" t="str">
        <f aca="false">IF(A315="","",DATE(YEAR(A315),MONTH(A315),1))</f>
        <v/>
      </c>
      <c r="I315" s="185"/>
      <c r="J315" s="144"/>
      <c r="K315" s="159" t="str">
        <f aca="false">IF(C315="","",N(C315)/IF(N315&lt;&gt;"",N315,IF(J315="",1,IFERROR(INDEX(Setup!$C$23:$C$46,MATCH(J315,Setup!$A$23:$A$46,0)),1))))</f>
        <v/>
      </c>
      <c r="L315" s="144"/>
      <c r="M315" s="108"/>
      <c r="N315" s="111"/>
      <c r="O315" s="156" t="str">
        <f aca="false">IF(OR(B315="",L315="Transfer"),"",IF(COUNTIFS($B$5:$B$604,B315,$H$5:$H$604,EDATE(H315,-1),$C$5:$C$604,"&gt;="&amp;C315*0.85,$C$5:$C$604,"&lt;="&amp;C315*1.15)&gt;0,"recurring",""))</f>
        <v/>
      </c>
      <c r="P315" s="157" t="str">
        <f aca="false">IF(B315="","",IF(COUNTIF(B315:$B$604,B315)=1,1,""))</f>
        <v/>
      </c>
      <c r="Q315" s="157" t="str">
        <f aca="false">IF(AND(O315="recurring",P315=1),COUNTIFS($O$5:O315,"recurring",$P$5:P315,1),"")</f>
        <v/>
      </c>
    </row>
    <row r="316" customFormat="false" ht="15" hidden="false" customHeight="false" outlineLevel="0" collapsed="false">
      <c r="A316" s="110"/>
      <c r="B316" s="108"/>
      <c r="C316" s="142"/>
      <c r="D316" s="108"/>
      <c r="E316" s="183" t="str">
        <f aca="false" t="array" ref="E316:E316">IF(B316="","",IFERROR(INDEX(Keywords!$B$5:$B$165,MAX(ISNUMBER(SEARCH(Keywords!$A$5:$A$165,B316))*(Keywords!$A$5:$A$165&lt;&gt;"")*ROW(Keywords!$A$5:$A$165))-4),""))</f>
        <v/>
      </c>
      <c r="F316" s="150" t="str">
        <f aca="false">IF(B316="","",IF(L316="Transfer","Transfer",IF(L316="Income","Income",IF(D316&lt;&gt;"",D316,IF(E316&lt;&gt;"",E316,"Uncategorized")))))</f>
        <v/>
      </c>
      <c r="G316" s="108"/>
      <c r="H316" s="184" t="str">
        <f aca="false">IF(A316="","",DATE(YEAR(A316),MONTH(A316),1))</f>
        <v/>
      </c>
      <c r="I316" s="185"/>
      <c r="J316" s="144"/>
      <c r="K316" s="159" t="str">
        <f aca="false">IF(C316="","",N(C316)/IF(N316&lt;&gt;"",N316,IF(J316="",1,IFERROR(INDEX(Setup!$C$23:$C$46,MATCH(J316,Setup!$A$23:$A$46,0)),1))))</f>
        <v/>
      </c>
      <c r="L316" s="144"/>
      <c r="M316" s="108"/>
      <c r="N316" s="111"/>
      <c r="O316" s="156" t="str">
        <f aca="false">IF(OR(B316="",L316="Transfer"),"",IF(COUNTIFS($B$5:$B$604,B316,$H$5:$H$604,EDATE(H316,-1),$C$5:$C$604,"&gt;="&amp;C316*0.85,$C$5:$C$604,"&lt;="&amp;C316*1.15)&gt;0,"recurring",""))</f>
        <v/>
      </c>
      <c r="P316" s="157" t="str">
        <f aca="false">IF(B316="","",IF(COUNTIF(B316:$B$604,B316)=1,1,""))</f>
        <v/>
      </c>
      <c r="Q316" s="157" t="str">
        <f aca="false">IF(AND(O316="recurring",P316=1),COUNTIFS($O$5:O316,"recurring",$P$5:P316,1),"")</f>
        <v/>
      </c>
    </row>
    <row r="317" customFormat="false" ht="15" hidden="false" customHeight="false" outlineLevel="0" collapsed="false">
      <c r="A317" s="110"/>
      <c r="B317" s="108"/>
      <c r="C317" s="142"/>
      <c r="D317" s="108"/>
      <c r="E317" s="183" t="str">
        <f aca="false" t="array" ref="E317:E317">IF(B317="","",IFERROR(INDEX(Keywords!$B$5:$B$165,MAX(ISNUMBER(SEARCH(Keywords!$A$5:$A$165,B317))*(Keywords!$A$5:$A$165&lt;&gt;"")*ROW(Keywords!$A$5:$A$165))-4),""))</f>
        <v/>
      </c>
      <c r="F317" s="150" t="str">
        <f aca="false">IF(B317="","",IF(L317="Transfer","Transfer",IF(L317="Income","Income",IF(D317&lt;&gt;"",D317,IF(E317&lt;&gt;"",E317,"Uncategorized")))))</f>
        <v/>
      </c>
      <c r="G317" s="108"/>
      <c r="H317" s="184" t="str">
        <f aca="false">IF(A317="","",DATE(YEAR(A317),MONTH(A317),1))</f>
        <v/>
      </c>
      <c r="I317" s="185"/>
      <c r="J317" s="144"/>
      <c r="K317" s="159" t="str">
        <f aca="false">IF(C317="","",N(C317)/IF(N317&lt;&gt;"",N317,IF(J317="",1,IFERROR(INDEX(Setup!$C$23:$C$46,MATCH(J317,Setup!$A$23:$A$46,0)),1))))</f>
        <v/>
      </c>
      <c r="L317" s="144"/>
      <c r="M317" s="108"/>
      <c r="N317" s="111"/>
      <c r="O317" s="156" t="str">
        <f aca="false">IF(OR(B317="",L317="Transfer"),"",IF(COUNTIFS($B$5:$B$604,B317,$H$5:$H$604,EDATE(H317,-1),$C$5:$C$604,"&gt;="&amp;C317*0.85,$C$5:$C$604,"&lt;="&amp;C317*1.15)&gt;0,"recurring",""))</f>
        <v/>
      </c>
      <c r="P317" s="157" t="str">
        <f aca="false">IF(B317="","",IF(COUNTIF(B317:$B$604,B317)=1,1,""))</f>
        <v/>
      </c>
      <c r="Q317" s="157" t="str">
        <f aca="false">IF(AND(O317="recurring",P317=1),COUNTIFS($O$5:O317,"recurring",$P$5:P317,1),"")</f>
        <v/>
      </c>
    </row>
    <row r="318" customFormat="false" ht="15" hidden="false" customHeight="false" outlineLevel="0" collapsed="false">
      <c r="A318" s="110"/>
      <c r="B318" s="108"/>
      <c r="C318" s="142"/>
      <c r="D318" s="108"/>
      <c r="E318" s="183" t="str">
        <f aca="false" t="array" ref="E318:E318">IF(B318="","",IFERROR(INDEX(Keywords!$B$5:$B$165,MAX(ISNUMBER(SEARCH(Keywords!$A$5:$A$165,B318))*(Keywords!$A$5:$A$165&lt;&gt;"")*ROW(Keywords!$A$5:$A$165))-4),""))</f>
        <v/>
      </c>
      <c r="F318" s="150" t="str">
        <f aca="false">IF(B318="","",IF(L318="Transfer","Transfer",IF(L318="Income","Income",IF(D318&lt;&gt;"",D318,IF(E318&lt;&gt;"",E318,"Uncategorized")))))</f>
        <v/>
      </c>
      <c r="G318" s="108"/>
      <c r="H318" s="184" t="str">
        <f aca="false">IF(A318="","",DATE(YEAR(A318),MONTH(A318),1))</f>
        <v/>
      </c>
      <c r="I318" s="185"/>
      <c r="J318" s="144"/>
      <c r="K318" s="159" t="str">
        <f aca="false">IF(C318="","",N(C318)/IF(N318&lt;&gt;"",N318,IF(J318="",1,IFERROR(INDEX(Setup!$C$23:$C$46,MATCH(J318,Setup!$A$23:$A$46,0)),1))))</f>
        <v/>
      </c>
      <c r="L318" s="144"/>
      <c r="M318" s="108"/>
      <c r="N318" s="111"/>
      <c r="O318" s="156" t="str">
        <f aca="false">IF(OR(B318="",L318="Transfer"),"",IF(COUNTIFS($B$5:$B$604,B318,$H$5:$H$604,EDATE(H318,-1),$C$5:$C$604,"&gt;="&amp;C318*0.85,$C$5:$C$604,"&lt;="&amp;C318*1.15)&gt;0,"recurring",""))</f>
        <v/>
      </c>
      <c r="P318" s="157" t="str">
        <f aca="false">IF(B318="","",IF(COUNTIF(B318:$B$604,B318)=1,1,""))</f>
        <v/>
      </c>
      <c r="Q318" s="157" t="str">
        <f aca="false">IF(AND(O318="recurring",P318=1),COUNTIFS($O$5:O318,"recurring",$P$5:P318,1),"")</f>
        <v/>
      </c>
    </row>
    <row r="319" customFormat="false" ht="15" hidden="false" customHeight="false" outlineLevel="0" collapsed="false">
      <c r="A319" s="110"/>
      <c r="B319" s="108"/>
      <c r="C319" s="142"/>
      <c r="D319" s="108"/>
      <c r="E319" s="183" t="str">
        <f aca="false" t="array" ref="E319:E319">IF(B319="","",IFERROR(INDEX(Keywords!$B$5:$B$165,MAX(ISNUMBER(SEARCH(Keywords!$A$5:$A$165,B319))*(Keywords!$A$5:$A$165&lt;&gt;"")*ROW(Keywords!$A$5:$A$165))-4),""))</f>
        <v/>
      </c>
      <c r="F319" s="150" t="str">
        <f aca="false">IF(B319="","",IF(L319="Transfer","Transfer",IF(L319="Income","Income",IF(D319&lt;&gt;"",D319,IF(E319&lt;&gt;"",E319,"Uncategorized")))))</f>
        <v/>
      </c>
      <c r="G319" s="108"/>
      <c r="H319" s="184" t="str">
        <f aca="false">IF(A319="","",DATE(YEAR(A319),MONTH(A319),1))</f>
        <v/>
      </c>
      <c r="I319" s="185"/>
      <c r="J319" s="144"/>
      <c r="K319" s="159" t="str">
        <f aca="false">IF(C319="","",N(C319)/IF(N319&lt;&gt;"",N319,IF(J319="",1,IFERROR(INDEX(Setup!$C$23:$C$46,MATCH(J319,Setup!$A$23:$A$46,0)),1))))</f>
        <v/>
      </c>
      <c r="L319" s="144"/>
      <c r="M319" s="108"/>
      <c r="N319" s="111"/>
      <c r="O319" s="156" t="str">
        <f aca="false">IF(OR(B319="",L319="Transfer"),"",IF(COUNTIFS($B$5:$B$604,B319,$H$5:$H$604,EDATE(H319,-1),$C$5:$C$604,"&gt;="&amp;C319*0.85,$C$5:$C$604,"&lt;="&amp;C319*1.15)&gt;0,"recurring",""))</f>
        <v/>
      </c>
      <c r="P319" s="157" t="str">
        <f aca="false">IF(B319="","",IF(COUNTIF(B319:$B$604,B319)=1,1,""))</f>
        <v/>
      </c>
      <c r="Q319" s="157" t="str">
        <f aca="false">IF(AND(O319="recurring",P319=1),COUNTIFS($O$5:O319,"recurring",$P$5:P319,1),"")</f>
        <v/>
      </c>
    </row>
    <row r="320" customFormat="false" ht="15" hidden="false" customHeight="false" outlineLevel="0" collapsed="false">
      <c r="A320" s="110"/>
      <c r="B320" s="108"/>
      <c r="C320" s="142"/>
      <c r="D320" s="108"/>
      <c r="E320" s="183" t="str">
        <f aca="false" t="array" ref="E320:E320">IF(B320="","",IFERROR(INDEX(Keywords!$B$5:$B$165,MAX(ISNUMBER(SEARCH(Keywords!$A$5:$A$165,B320))*(Keywords!$A$5:$A$165&lt;&gt;"")*ROW(Keywords!$A$5:$A$165))-4),""))</f>
        <v/>
      </c>
      <c r="F320" s="150" t="str">
        <f aca="false">IF(B320="","",IF(L320="Transfer","Transfer",IF(L320="Income","Income",IF(D320&lt;&gt;"",D320,IF(E320&lt;&gt;"",E320,"Uncategorized")))))</f>
        <v/>
      </c>
      <c r="G320" s="108"/>
      <c r="H320" s="184" t="str">
        <f aca="false">IF(A320="","",DATE(YEAR(A320),MONTH(A320),1))</f>
        <v/>
      </c>
      <c r="I320" s="185"/>
      <c r="J320" s="144"/>
      <c r="K320" s="159" t="str">
        <f aca="false">IF(C320="","",N(C320)/IF(N320&lt;&gt;"",N320,IF(J320="",1,IFERROR(INDEX(Setup!$C$23:$C$46,MATCH(J320,Setup!$A$23:$A$46,0)),1))))</f>
        <v/>
      </c>
      <c r="L320" s="144"/>
      <c r="M320" s="108"/>
      <c r="N320" s="111"/>
      <c r="O320" s="156" t="str">
        <f aca="false">IF(OR(B320="",L320="Transfer"),"",IF(COUNTIFS($B$5:$B$604,B320,$H$5:$H$604,EDATE(H320,-1),$C$5:$C$604,"&gt;="&amp;C320*0.85,$C$5:$C$604,"&lt;="&amp;C320*1.15)&gt;0,"recurring",""))</f>
        <v/>
      </c>
      <c r="P320" s="157" t="str">
        <f aca="false">IF(B320="","",IF(COUNTIF(B320:$B$604,B320)=1,1,""))</f>
        <v/>
      </c>
      <c r="Q320" s="157" t="str">
        <f aca="false">IF(AND(O320="recurring",P320=1),COUNTIFS($O$5:O320,"recurring",$P$5:P320,1),"")</f>
        <v/>
      </c>
    </row>
    <row r="321" customFormat="false" ht="15" hidden="false" customHeight="false" outlineLevel="0" collapsed="false">
      <c r="A321" s="110"/>
      <c r="B321" s="108"/>
      <c r="C321" s="142"/>
      <c r="D321" s="108"/>
      <c r="E321" s="183" t="str">
        <f aca="false" t="array" ref="E321:E321">IF(B321="","",IFERROR(INDEX(Keywords!$B$5:$B$165,MAX(ISNUMBER(SEARCH(Keywords!$A$5:$A$165,B321))*(Keywords!$A$5:$A$165&lt;&gt;"")*ROW(Keywords!$A$5:$A$165))-4),""))</f>
        <v/>
      </c>
      <c r="F321" s="150" t="str">
        <f aca="false">IF(B321="","",IF(L321="Transfer","Transfer",IF(L321="Income","Income",IF(D321&lt;&gt;"",D321,IF(E321&lt;&gt;"",E321,"Uncategorized")))))</f>
        <v/>
      </c>
      <c r="G321" s="108"/>
      <c r="H321" s="184" t="str">
        <f aca="false">IF(A321="","",DATE(YEAR(A321),MONTH(A321),1))</f>
        <v/>
      </c>
      <c r="I321" s="185"/>
      <c r="J321" s="144"/>
      <c r="K321" s="159" t="str">
        <f aca="false">IF(C321="","",N(C321)/IF(N321&lt;&gt;"",N321,IF(J321="",1,IFERROR(INDEX(Setup!$C$23:$C$46,MATCH(J321,Setup!$A$23:$A$46,0)),1))))</f>
        <v/>
      </c>
      <c r="L321" s="144"/>
      <c r="M321" s="108"/>
      <c r="N321" s="111"/>
      <c r="O321" s="156" t="str">
        <f aca="false">IF(OR(B321="",L321="Transfer"),"",IF(COUNTIFS($B$5:$B$604,B321,$H$5:$H$604,EDATE(H321,-1),$C$5:$C$604,"&gt;="&amp;C321*0.85,$C$5:$C$604,"&lt;="&amp;C321*1.15)&gt;0,"recurring",""))</f>
        <v/>
      </c>
      <c r="P321" s="157" t="str">
        <f aca="false">IF(B321="","",IF(COUNTIF(B321:$B$604,B321)=1,1,""))</f>
        <v/>
      </c>
      <c r="Q321" s="157" t="str">
        <f aca="false">IF(AND(O321="recurring",P321=1),COUNTIFS($O$5:O321,"recurring",$P$5:P321,1),"")</f>
        <v/>
      </c>
    </row>
    <row r="322" customFormat="false" ht="15" hidden="false" customHeight="false" outlineLevel="0" collapsed="false">
      <c r="A322" s="110"/>
      <c r="B322" s="108"/>
      <c r="C322" s="142"/>
      <c r="D322" s="108"/>
      <c r="E322" s="183" t="str">
        <f aca="false" t="array" ref="E322:E322">IF(B322="","",IFERROR(INDEX(Keywords!$B$5:$B$165,MAX(ISNUMBER(SEARCH(Keywords!$A$5:$A$165,B322))*(Keywords!$A$5:$A$165&lt;&gt;"")*ROW(Keywords!$A$5:$A$165))-4),""))</f>
        <v/>
      </c>
      <c r="F322" s="150" t="str">
        <f aca="false">IF(B322="","",IF(L322="Transfer","Transfer",IF(L322="Income","Income",IF(D322&lt;&gt;"",D322,IF(E322&lt;&gt;"",E322,"Uncategorized")))))</f>
        <v/>
      </c>
      <c r="G322" s="108"/>
      <c r="H322" s="184" t="str">
        <f aca="false">IF(A322="","",DATE(YEAR(A322),MONTH(A322),1))</f>
        <v/>
      </c>
      <c r="I322" s="185"/>
      <c r="J322" s="144"/>
      <c r="K322" s="159" t="str">
        <f aca="false">IF(C322="","",N(C322)/IF(N322&lt;&gt;"",N322,IF(J322="",1,IFERROR(INDEX(Setup!$C$23:$C$46,MATCH(J322,Setup!$A$23:$A$46,0)),1))))</f>
        <v/>
      </c>
      <c r="L322" s="144"/>
      <c r="M322" s="108"/>
      <c r="N322" s="111"/>
      <c r="O322" s="156" t="str">
        <f aca="false">IF(OR(B322="",L322="Transfer"),"",IF(COUNTIFS($B$5:$B$604,B322,$H$5:$H$604,EDATE(H322,-1),$C$5:$C$604,"&gt;="&amp;C322*0.85,$C$5:$C$604,"&lt;="&amp;C322*1.15)&gt;0,"recurring",""))</f>
        <v/>
      </c>
      <c r="P322" s="157" t="str">
        <f aca="false">IF(B322="","",IF(COUNTIF(B322:$B$604,B322)=1,1,""))</f>
        <v/>
      </c>
      <c r="Q322" s="157" t="str">
        <f aca="false">IF(AND(O322="recurring",P322=1),COUNTIFS($O$5:O322,"recurring",$P$5:P322,1),"")</f>
        <v/>
      </c>
    </row>
    <row r="323" customFormat="false" ht="15" hidden="false" customHeight="false" outlineLevel="0" collapsed="false">
      <c r="A323" s="110"/>
      <c r="B323" s="108"/>
      <c r="C323" s="142"/>
      <c r="D323" s="108"/>
      <c r="E323" s="183" t="str">
        <f aca="false" t="array" ref="E323:E323">IF(B323="","",IFERROR(INDEX(Keywords!$B$5:$B$165,MAX(ISNUMBER(SEARCH(Keywords!$A$5:$A$165,B323))*(Keywords!$A$5:$A$165&lt;&gt;"")*ROW(Keywords!$A$5:$A$165))-4),""))</f>
        <v/>
      </c>
      <c r="F323" s="150" t="str">
        <f aca="false">IF(B323="","",IF(L323="Transfer","Transfer",IF(L323="Income","Income",IF(D323&lt;&gt;"",D323,IF(E323&lt;&gt;"",E323,"Uncategorized")))))</f>
        <v/>
      </c>
      <c r="G323" s="108"/>
      <c r="H323" s="184" t="str">
        <f aca="false">IF(A323="","",DATE(YEAR(A323),MONTH(A323),1))</f>
        <v/>
      </c>
      <c r="I323" s="185"/>
      <c r="J323" s="144"/>
      <c r="K323" s="159" t="str">
        <f aca="false">IF(C323="","",N(C323)/IF(N323&lt;&gt;"",N323,IF(J323="",1,IFERROR(INDEX(Setup!$C$23:$C$46,MATCH(J323,Setup!$A$23:$A$46,0)),1))))</f>
        <v/>
      </c>
      <c r="L323" s="144"/>
      <c r="M323" s="108"/>
      <c r="N323" s="111"/>
      <c r="O323" s="156" t="str">
        <f aca="false">IF(OR(B323="",L323="Transfer"),"",IF(COUNTIFS($B$5:$B$604,B323,$H$5:$H$604,EDATE(H323,-1),$C$5:$C$604,"&gt;="&amp;C323*0.85,$C$5:$C$604,"&lt;="&amp;C323*1.15)&gt;0,"recurring",""))</f>
        <v/>
      </c>
      <c r="P323" s="157" t="str">
        <f aca="false">IF(B323="","",IF(COUNTIF(B323:$B$604,B323)=1,1,""))</f>
        <v/>
      </c>
      <c r="Q323" s="157" t="str">
        <f aca="false">IF(AND(O323="recurring",P323=1),COUNTIFS($O$5:O323,"recurring",$P$5:P323,1),"")</f>
        <v/>
      </c>
    </row>
    <row r="324" customFormat="false" ht="15" hidden="false" customHeight="false" outlineLevel="0" collapsed="false">
      <c r="A324" s="110"/>
      <c r="B324" s="108"/>
      <c r="C324" s="142"/>
      <c r="D324" s="108"/>
      <c r="E324" s="183" t="str">
        <f aca="false" t="array" ref="E324:E324">IF(B324="","",IFERROR(INDEX(Keywords!$B$5:$B$165,MAX(ISNUMBER(SEARCH(Keywords!$A$5:$A$165,B324))*(Keywords!$A$5:$A$165&lt;&gt;"")*ROW(Keywords!$A$5:$A$165))-4),""))</f>
        <v/>
      </c>
      <c r="F324" s="150" t="str">
        <f aca="false">IF(B324="","",IF(L324="Transfer","Transfer",IF(L324="Income","Income",IF(D324&lt;&gt;"",D324,IF(E324&lt;&gt;"",E324,"Uncategorized")))))</f>
        <v/>
      </c>
      <c r="G324" s="108"/>
      <c r="H324" s="184" t="str">
        <f aca="false">IF(A324="","",DATE(YEAR(A324),MONTH(A324),1))</f>
        <v/>
      </c>
      <c r="I324" s="185"/>
      <c r="J324" s="144"/>
      <c r="K324" s="159" t="str">
        <f aca="false">IF(C324="","",N(C324)/IF(N324&lt;&gt;"",N324,IF(J324="",1,IFERROR(INDEX(Setup!$C$23:$C$46,MATCH(J324,Setup!$A$23:$A$46,0)),1))))</f>
        <v/>
      </c>
      <c r="L324" s="144"/>
      <c r="M324" s="108"/>
      <c r="N324" s="111"/>
      <c r="O324" s="156" t="str">
        <f aca="false">IF(OR(B324="",L324="Transfer"),"",IF(COUNTIFS($B$5:$B$604,B324,$H$5:$H$604,EDATE(H324,-1),$C$5:$C$604,"&gt;="&amp;C324*0.85,$C$5:$C$604,"&lt;="&amp;C324*1.15)&gt;0,"recurring",""))</f>
        <v/>
      </c>
      <c r="P324" s="157" t="str">
        <f aca="false">IF(B324="","",IF(COUNTIF(B324:$B$604,B324)=1,1,""))</f>
        <v/>
      </c>
      <c r="Q324" s="157" t="str">
        <f aca="false">IF(AND(O324="recurring",P324=1),COUNTIFS($O$5:O324,"recurring",$P$5:P324,1),"")</f>
        <v/>
      </c>
    </row>
    <row r="325" customFormat="false" ht="15" hidden="false" customHeight="false" outlineLevel="0" collapsed="false">
      <c r="A325" s="110"/>
      <c r="B325" s="108"/>
      <c r="C325" s="142"/>
      <c r="D325" s="108"/>
      <c r="E325" s="183" t="str">
        <f aca="false" t="array" ref="E325:E325">IF(B325="","",IFERROR(INDEX(Keywords!$B$5:$B$165,MAX(ISNUMBER(SEARCH(Keywords!$A$5:$A$165,B325))*(Keywords!$A$5:$A$165&lt;&gt;"")*ROW(Keywords!$A$5:$A$165))-4),""))</f>
        <v/>
      </c>
      <c r="F325" s="150" t="str">
        <f aca="false">IF(B325="","",IF(L325="Transfer","Transfer",IF(L325="Income","Income",IF(D325&lt;&gt;"",D325,IF(E325&lt;&gt;"",E325,"Uncategorized")))))</f>
        <v/>
      </c>
      <c r="G325" s="108"/>
      <c r="H325" s="184" t="str">
        <f aca="false">IF(A325="","",DATE(YEAR(A325),MONTH(A325),1))</f>
        <v/>
      </c>
      <c r="I325" s="185"/>
      <c r="J325" s="144"/>
      <c r="K325" s="159" t="str">
        <f aca="false">IF(C325="","",N(C325)/IF(N325&lt;&gt;"",N325,IF(J325="",1,IFERROR(INDEX(Setup!$C$23:$C$46,MATCH(J325,Setup!$A$23:$A$46,0)),1))))</f>
        <v/>
      </c>
      <c r="L325" s="144"/>
      <c r="M325" s="108"/>
      <c r="N325" s="111"/>
      <c r="O325" s="156" t="str">
        <f aca="false">IF(OR(B325="",L325="Transfer"),"",IF(COUNTIFS($B$5:$B$604,B325,$H$5:$H$604,EDATE(H325,-1),$C$5:$C$604,"&gt;="&amp;C325*0.85,$C$5:$C$604,"&lt;="&amp;C325*1.15)&gt;0,"recurring",""))</f>
        <v/>
      </c>
      <c r="P325" s="157" t="str">
        <f aca="false">IF(B325="","",IF(COUNTIF(B325:$B$604,B325)=1,1,""))</f>
        <v/>
      </c>
      <c r="Q325" s="157" t="str">
        <f aca="false">IF(AND(O325="recurring",P325=1),COUNTIFS($O$5:O325,"recurring",$P$5:P325,1),"")</f>
        <v/>
      </c>
    </row>
    <row r="326" customFormat="false" ht="15" hidden="false" customHeight="false" outlineLevel="0" collapsed="false">
      <c r="A326" s="110"/>
      <c r="B326" s="108"/>
      <c r="C326" s="142"/>
      <c r="D326" s="108"/>
      <c r="E326" s="183" t="str">
        <f aca="false" t="array" ref="E326:E326">IF(B326="","",IFERROR(INDEX(Keywords!$B$5:$B$165,MAX(ISNUMBER(SEARCH(Keywords!$A$5:$A$165,B326))*(Keywords!$A$5:$A$165&lt;&gt;"")*ROW(Keywords!$A$5:$A$165))-4),""))</f>
        <v/>
      </c>
      <c r="F326" s="150" t="str">
        <f aca="false">IF(B326="","",IF(L326="Transfer","Transfer",IF(L326="Income","Income",IF(D326&lt;&gt;"",D326,IF(E326&lt;&gt;"",E326,"Uncategorized")))))</f>
        <v/>
      </c>
      <c r="G326" s="108"/>
      <c r="H326" s="184" t="str">
        <f aca="false">IF(A326="","",DATE(YEAR(A326),MONTH(A326),1))</f>
        <v/>
      </c>
      <c r="I326" s="185"/>
      <c r="J326" s="144"/>
      <c r="K326" s="159" t="str">
        <f aca="false">IF(C326="","",N(C326)/IF(N326&lt;&gt;"",N326,IF(J326="",1,IFERROR(INDEX(Setup!$C$23:$C$46,MATCH(J326,Setup!$A$23:$A$46,0)),1))))</f>
        <v/>
      </c>
      <c r="L326" s="144"/>
      <c r="M326" s="108"/>
      <c r="N326" s="111"/>
      <c r="O326" s="156" t="str">
        <f aca="false">IF(OR(B326="",L326="Transfer"),"",IF(COUNTIFS($B$5:$B$604,B326,$H$5:$H$604,EDATE(H326,-1),$C$5:$C$604,"&gt;="&amp;C326*0.85,$C$5:$C$604,"&lt;="&amp;C326*1.15)&gt;0,"recurring",""))</f>
        <v/>
      </c>
      <c r="P326" s="157" t="str">
        <f aca="false">IF(B326="","",IF(COUNTIF(B326:$B$604,B326)=1,1,""))</f>
        <v/>
      </c>
      <c r="Q326" s="157" t="str">
        <f aca="false">IF(AND(O326="recurring",P326=1),COUNTIFS($O$5:O326,"recurring",$P$5:P326,1),"")</f>
        <v/>
      </c>
    </row>
    <row r="327" customFormat="false" ht="15" hidden="false" customHeight="false" outlineLevel="0" collapsed="false">
      <c r="A327" s="110"/>
      <c r="B327" s="108"/>
      <c r="C327" s="142"/>
      <c r="D327" s="108"/>
      <c r="E327" s="183" t="str">
        <f aca="false" t="array" ref="E327:E327">IF(B327="","",IFERROR(INDEX(Keywords!$B$5:$B$165,MAX(ISNUMBER(SEARCH(Keywords!$A$5:$A$165,B327))*(Keywords!$A$5:$A$165&lt;&gt;"")*ROW(Keywords!$A$5:$A$165))-4),""))</f>
        <v/>
      </c>
      <c r="F327" s="150" t="str">
        <f aca="false">IF(B327="","",IF(L327="Transfer","Transfer",IF(L327="Income","Income",IF(D327&lt;&gt;"",D327,IF(E327&lt;&gt;"",E327,"Uncategorized")))))</f>
        <v/>
      </c>
      <c r="G327" s="108"/>
      <c r="H327" s="184" t="str">
        <f aca="false">IF(A327="","",DATE(YEAR(A327),MONTH(A327),1))</f>
        <v/>
      </c>
      <c r="I327" s="185"/>
      <c r="J327" s="144"/>
      <c r="K327" s="159" t="str">
        <f aca="false">IF(C327="","",N(C327)/IF(N327&lt;&gt;"",N327,IF(J327="",1,IFERROR(INDEX(Setup!$C$23:$C$46,MATCH(J327,Setup!$A$23:$A$46,0)),1))))</f>
        <v/>
      </c>
      <c r="L327" s="144"/>
      <c r="M327" s="108"/>
      <c r="N327" s="111"/>
      <c r="O327" s="156" t="str">
        <f aca="false">IF(OR(B327="",L327="Transfer"),"",IF(COUNTIFS($B$5:$B$604,B327,$H$5:$H$604,EDATE(H327,-1),$C$5:$C$604,"&gt;="&amp;C327*0.85,$C$5:$C$604,"&lt;="&amp;C327*1.15)&gt;0,"recurring",""))</f>
        <v/>
      </c>
      <c r="P327" s="157" t="str">
        <f aca="false">IF(B327="","",IF(COUNTIF(B327:$B$604,B327)=1,1,""))</f>
        <v/>
      </c>
      <c r="Q327" s="157" t="str">
        <f aca="false">IF(AND(O327="recurring",P327=1),COUNTIFS($O$5:O327,"recurring",$P$5:P327,1),"")</f>
        <v/>
      </c>
    </row>
    <row r="328" customFormat="false" ht="15" hidden="false" customHeight="false" outlineLevel="0" collapsed="false">
      <c r="A328" s="110"/>
      <c r="B328" s="108"/>
      <c r="C328" s="142"/>
      <c r="D328" s="108"/>
      <c r="E328" s="183" t="str">
        <f aca="false" t="array" ref="E328:E328">IF(B328="","",IFERROR(INDEX(Keywords!$B$5:$B$165,MAX(ISNUMBER(SEARCH(Keywords!$A$5:$A$165,B328))*(Keywords!$A$5:$A$165&lt;&gt;"")*ROW(Keywords!$A$5:$A$165))-4),""))</f>
        <v/>
      </c>
      <c r="F328" s="150" t="str">
        <f aca="false">IF(B328="","",IF(L328="Transfer","Transfer",IF(L328="Income","Income",IF(D328&lt;&gt;"",D328,IF(E328&lt;&gt;"",E328,"Uncategorized")))))</f>
        <v/>
      </c>
      <c r="G328" s="108"/>
      <c r="H328" s="184" t="str">
        <f aca="false">IF(A328="","",DATE(YEAR(A328),MONTH(A328),1))</f>
        <v/>
      </c>
      <c r="I328" s="185"/>
      <c r="J328" s="144"/>
      <c r="K328" s="159" t="str">
        <f aca="false">IF(C328="","",N(C328)/IF(N328&lt;&gt;"",N328,IF(J328="",1,IFERROR(INDEX(Setup!$C$23:$C$46,MATCH(J328,Setup!$A$23:$A$46,0)),1))))</f>
        <v/>
      </c>
      <c r="L328" s="144"/>
      <c r="M328" s="108"/>
      <c r="N328" s="111"/>
      <c r="O328" s="156" t="str">
        <f aca="false">IF(OR(B328="",L328="Transfer"),"",IF(COUNTIFS($B$5:$B$604,B328,$H$5:$H$604,EDATE(H328,-1),$C$5:$C$604,"&gt;="&amp;C328*0.85,$C$5:$C$604,"&lt;="&amp;C328*1.15)&gt;0,"recurring",""))</f>
        <v/>
      </c>
      <c r="P328" s="157" t="str">
        <f aca="false">IF(B328="","",IF(COUNTIF(B328:$B$604,B328)=1,1,""))</f>
        <v/>
      </c>
      <c r="Q328" s="157" t="str">
        <f aca="false">IF(AND(O328="recurring",P328=1),COUNTIFS($O$5:O328,"recurring",$P$5:P328,1),"")</f>
        <v/>
      </c>
    </row>
    <row r="329" customFormat="false" ht="15" hidden="false" customHeight="false" outlineLevel="0" collapsed="false">
      <c r="A329" s="110"/>
      <c r="B329" s="108"/>
      <c r="C329" s="142"/>
      <c r="D329" s="108"/>
      <c r="E329" s="183" t="str">
        <f aca="false" t="array" ref="E329:E329">IF(B329="","",IFERROR(INDEX(Keywords!$B$5:$B$165,MAX(ISNUMBER(SEARCH(Keywords!$A$5:$A$165,B329))*(Keywords!$A$5:$A$165&lt;&gt;"")*ROW(Keywords!$A$5:$A$165))-4),""))</f>
        <v/>
      </c>
      <c r="F329" s="150" t="str">
        <f aca="false">IF(B329="","",IF(L329="Transfer","Transfer",IF(L329="Income","Income",IF(D329&lt;&gt;"",D329,IF(E329&lt;&gt;"",E329,"Uncategorized")))))</f>
        <v/>
      </c>
      <c r="G329" s="108"/>
      <c r="H329" s="184" t="str">
        <f aca="false">IF(A329="","",DATE(YEAR(A329),MONTH(A329),1))</f>
        <v/>
      </c>
      <c r="I329" s="185"/>
      <c r="J329" s="144"/>
      <c r="K329" s="159" t="str">
        <f aca="false">IF(C329="","",N(C329)/IF(N329&lt;&gt;"",N329,IF(J329="",1,IFERROR(INDEX(Setup!$C$23:$C$46,MATCH(J329,Setup!$A$23:$A$46,0)),1))))</f>
        <v/>
      </c>
      <c r="L329" s="144"/>
      <c r="M329" s="108"/>
      <c r="N329" s="111"/>
      <c r="O329" s="156" t="str">
        <f aca="false">IF(OR(B329="",L329="Transfer"),"",IF(COUNTIFS($B$5:$B$604,B329,$H$5:$H$604,EDATE(H329,-1),$C$5:$C$604,"&gt;="&amp;C329*0.85,$C$5:$C$604,"&lt;="&amp;C329*1.15)&gt;0,"recurring",""))</f>
        <v/>
      </c>
      <c r="P329" s="157" t="str">
        <f aca="false">IF(B329="","",IF(COUNTIF(B329:$B$604,B329)=1,1,""))</f>
        <v/>
      </c>
      <c r="Q329" s="157" t="str">
        <f aca="false">IF(AND(O329="recurring",P329=1),COUNTIFS($O$5:O329,"recurring",$P$5:P329,1),"")</f>
        <v/>
      </c>
    </row>
    <row r="330" customFormat="false" ht="15" hidden="false" customHeight="false" outlineLevel="0" collapsed="false">
      <c r="A330" s="110"/>
      <c r="B330" s="108"/>
      <c r="C330" s="142"/>
      <c r="D330" s="108"/>
      <c r="E330" s="183" t="str">
        <f aca="false" t="array" ref="E330:E330">IF(B330="","",IFERROR(INDEX(Keywords!$B$5:$B$165,MAX(ISNUMBER(SEARCH(Keywords!$A$5:$A$165,B330))*(Keywords!$A$5:$A$165&lt;&gt;"")*ROW(Keywords!$A$5:$A$165))-4),""))</f>
        <v/>
      </c>
      <c r="F330" s="150" t="str">
        <f aca="false">IF(B330="","",IF(L330="Transfer","Transfer",IF(L330="Income","Income",IF(D330&lt;&gt;"",D330,IF(E330&lt;&gt;"",E330,"Uncategorized")))))</f>
        <v/>
      </c>
      <c r="G330" s="108"/>
      <c r="H330" s="184" t="str">
        <f aca="false">IF(A330="","",DATE(YEAR(A330),MONTH(A330),1))</f>
        <v/>
      </c>
      <c r="I330" s="185"/>
      <c r="J330" s="144"/>
      <c r="K330" s="159" t="str">
        <f aca="false">IF(C330="","",N(C330)/IF(N330&lt;&gt;"",N330,IF(J330="",1,IFERROR(INDEX(Setup!$C$23:$C$46,MATCH(J330,Setup!$A$23:$A$46,0)),1))))</f>
        <v/>
      </c>
      <c r="L330" s="144"/>
      <c r="M330" s="108"/>
      <c r="N330" s="111"/>
      <c r="O330" s="156" t="str">
        <f aca="false">IF(OR(B330="",L330="Transfer"),"",IF(COUNTIFS($B$5:$B$604,B330,$H$5:$H$604,EDATE(H330,-1),$C$5:$C$604,"&gt;="&amp;C330*0.85,$C$5:$C$604,"&lt;="&amp;C330*1.15)&gt;0,"recurring",""))</f>
        <v/>
      </c>
      <c r="P330" s="157" t="str">
        <f aca="false">IF(B330="","",IF(COUNTIF(B330:$B$604,B330)=1,1,""))</f>
        <v/>
      </c>
      <c r="Q330" s="157" t="str">
        <f aca="false">IF(AND(O330="recurring",P330=1),COUNTIFS($O$5:O330,"recurring",$P$5:P330,1),"")</f>
        <v/>
      </c>
    </row>
    <row r="331" customFormat="false" ht="15" hidden="false" customHeight="false" outlineLevel="0" collapsed="false">
      <c r="A331" s="110"/>
      <c r="B331" s="108"/>
      <c r="C331" s="142"/>
      <c r="D331" s="108"/>
      <c r="E331" s="183" t="str">
        <f aca="false" t="array" ref="E331:E331">IF(B331="","",IFERROR(INDEX(Keywords!$B$5:$B$165,MAX(ISNUMBER(SEARCH(Keywords!$A$5:$A$165,B331))*(Keywords!$A$5:$A$165&lt;&gt;"")*ROW(Keywords!$A$5:$A$165))-4),""))</f>
        <v/>
      </c>
      <c r="F331" s="150" t="str">
        <f aca="false">IF(B331="","",IF(L331="Transfer","Transfer",IF(L331="Income","Income",IF(D331&lt;&gt;"",D331,IF(E331&lt;&gt;"",E331,"Uncategorized")))))</f>
        <v/>
      </c>
      <c r="G331" s="108"/>
      <c r="H331" s="184" t="str">
        <f aca="false">IF(A331="","",DATE(YEAR(A331),MONTH(A331),1))</f>
        <v/>
      </c>
      <c r="I331" s="185"/>
      <c r="J331" s="144"/>
      <c r="K331" s="159" t="str">
        <f aca="false">IF(C331="","",N(C331)/IF(N331&lt;&gt;"",N331,IF(J331="",1,IFERROR(INDEX(Setup!$C$23:$C$46,MATCH(J331,Setup!$A$23:$A$46,0)),1))))</f>
        <v/>
      </c>
      <c r="L331" s="144"/>
      <c r="M331" s="108"/>
      <c r="N331" s="111"/>
      <c r="O331" s="156" t="str">
        <f aca="false">IF(OR(B331="",L331="Transfer"),"",IF(COUNTIFS($B$5:$B$604,B331,$H$5:$H$604,EDATE(H331,-1),$C$5:$C$604,"&gt;="&amp;C331*0.85,$C$5:$C$604,"&lt;="&amp;C331*1.15)&gt;0,"recurring",""))</f>
        <v/>
      </c>
      <c r="P331" s="157" t="str">
        <f aca="false">IF(B331="","",IF(COUNTIF(B331:$B$604,B331)=1,1,""))</f>
        <v/>
      </c>
      <c r="Q331" s="157" t="str">
        <f aca="false">IF(AND(O331="recurring",P331=1),COUNTIFS($O$5:O331,"recurring",$P$5:P331,1),"")</f>
        <v/>
      </c>
    </row>
    <row r="332" customFormat="false" ht="15" hidden="false" customHeight="false" outlineLevel="0" collapsed="false">
      <c r="A332" s="110"/>
      <c r="B332" s="108"/>
      <c r="C332" s="142"/>
      <c r="D332" s="108"/>
      <c r="E332" s="183" t="str">
        <f aca="false" t="array" ref="E332:E332">IF(B332="","",IFERROR(INDEX(Keywords!$B$5:$B$165,MAX(ISNUMBER(SEARCH(Keywords!$A$5:$A$165,B332))*(Keywords!$A$5:$A$165&lt;&gt;"")*ROW(Keywords!$A$5:$A$165))-4),""))</f>
        <v/>
      </c>
      <c r="F332" s="150" t="str">
        <f aca="false">IF(B332="","",IF(L332="Transfer","Transfer",IF(L332="Income","Income",IF(D332&lt;&gt;"",D332,IF(E332&lt;&gt;"",E332,"Uncategorized")))))</f>
        <v/>
      </c>
      <c r="G332" s="108"/>
      <c r="H332" s="184" t="str">
        <f aca="false">IF(A332="","",DATE(YEAR(A332),MONTH(A332),1))</f>
        <v/>
      </c>
      <c r="I332" s="185"/>
      <c r="J332" s="144"/>
      <c r="K332" s="159" t="str">
        <f aca="false">IF(C332="","",N(C332)/IF(N332&lt;&gt;"",N332,IF(J332="",1,IFERROR(INDEX(Setup!$C$23:$C$46,MATCH(J332,Setup!$A$23:$A$46,0)),1))))</f>
        <v/>
      </c>
      <c r="L332" s="144"/>
      <c r="M332" s="108"/>
      <c r="N332" s="111"/>
      <c r="O332" s="156" t="str">
        <f aca="false">IF(OR(B332="",L332="Transfer"),"",IF(COUNTIFS($B$5:$B$604,B332,$H$5:$H$604,EDATE(H332,-1),$C$5:$C$604,"&gt;="&amp;C332*0.85,$C$5:$C$604,"&lt;="&amp;C332*1.15)&gt;0,"recurring",""))</f>
        <v/>
      </c>
      <c r="P332" s="157" t="str">
        <f aca="false">IF(B332="","",IF(COUNTIF(B332:$B$604,B332)=1,1,""))</f>
        <v/>
      </c>
      <c r="Q332" s="157" t="str">
        <f aca="false">IF(AND(O332="recurring",P332=1),COUNTIFS($O$5:O332,"recurring",$P$5:P332,1),"")</f>
        <v/>
      </c>
    </row>
    <row r="333" customFormat="false" ht="15" hidden="false" customHeight="false" outlineLevel="0" collapsed="false">
      <c r="A333" s="110"/>
      <c r="B333" s="108"/>
      <c r="C333" s="142"/>
      <c r="D333" s="108"/>
      <c r="E333" s="183" t="str">
        <f aca="false" t="array" ref="E333:E333">IF(B333="","",IFERROR(INDEX(Keywords!$B$5:$B$165,MAX(ISNUMBER(SEARCH(Keywords!$A$5:$A$165,B333))*(Keywords!$A$5:$A$165&lt;&gt;"")*ROW(Keywords!$A$5:$A$165))-4),""))</f>
        <v/>
      </c>
      <c r="F333" s="150" t="str">
        <f aca="false">IF(B333="","",IF(L333="Transfer","Transfer",IF(L333="Income","Income",IF(D333&lt;&gt;"",D333,IF(E333&lt;&gt;"",E333,"Uncategorized")))))</f>
        <v/>
      </c>
      <c r="G333" s="108"/>
      <c r="H333" s="184" t="str">
        <f aca="false">IF(A333="","",DATE(YEAR(A333),MONTH(A333),1))</f>
        <v/>
      </c>
      <c r="I333" s="185"/>
      <c r="J333" s="144"/>
      <c r="K333" s="159" t="str">
        <f aca="false">IF(C333="","",N(C333)/IF(N333&lt;&gt;"",N333,IF(J333="",1,IFERROR(INDEX(Setup!$C$23:$C$46,MATCH(J333,Setup!$A$23:$A$46,0)),1))))</f>
        <v/>
      </c>
      <c r="L333" s="144"/>
      <c r="M333" s="108"/>
      <c r="N333" s="111"/>
      <c r="O333" s="156" t="str">
        <f aca="false">IF(OR(B333="",L333="Transfer"),"",IF(COUNTIFS($B$5:$B$604,B333,$H$5:$H$604,EDATE(H333,-1),$C$5:$C$604,"&gt;="&amp;C333*0.85,$C$5:$C$604,"&lt;="&amp;C333*1.15)&gt;0,"recurring",""))</f>
        <v/>
      </c>
      <c r="P333" s="157" t="str">
        <f aca="false">IF(B333="","",IF(COUNTIF(B333:$B$604,B333)=1,1,""))</f>
        <v/>
      </c>
      <c r="Q333" s="157" t="str">
        <f aca="false">IF(AND(O333="recurring",P333=1),COUNTIFS($O$5:O333,"recurring",$P$5:P333,1),"")</f>
        <v/>
      </c>
    </row>
    <row r="334" customFormat="false" ht="15" hidden="false" customHeight="false" outlineLevel="0" collapsed="false">
      <c r="A334" s="110"/>
      <c r="B334" s="108"/>
      <c r="C334" s="142"/>
      <c r="D334" s="108"/>
      <c r="E334" s="183" t="str">
        <f aca="false" t="array" ref="E334:E334">IF(B334="","",IFERROR(INDEX(Keywords!$B$5:$B$165,MAX(ISNUMBER(SEARCH(Keywords!$A$5:$A$165,B334))*(Keywords!$A$5:$A$165&lt;&gt;"")*ROW(Keywords!$A$5:$A$165))-4),""))</f>
        <v/>
      </c>
      <c r="F334" s="150" t="str">
        <f aca="false">IF(B334="","",IF(L334="Transfer","Transfer",IF(L334="Income","Income",IF(D334&lt;&gt;"",D334,IF(E334&lt;&gt;"",E334,"Uncategorized")))))</f>
        <v/>
      </c>
      <c r="G334" s="108"/>
      <c r="H334" s="184" t="str">
        <f aca="false">IF(A334="","",DATE(YEAR(A334),MONTH(A334),1))</f>
        <v/>
      </c>
      <c r="I334" s="185"/>
      <c r="J334" s="144"/>
      <c r="K334" s="159" t="str">
        <f aca="false">IF(C334="","",N(C334)/IF(N334&lt;&gt;"",N334,IF(J334="",1,IFERROR(INDEX(Setup!$C$23:$C$46,MATCH(J334,Setup!$A$23:$A$46,0)),1))))</f>
        <v/>
      </c>
      <c r="L334" s="144"/>
      <c r="M334" s="108"/>
      <c r="N334" s="111"/>
      <c r="O334" s="156" t="str">
        <f aca="false">IF(OR(B334="",L334="Transfer"),"",IF(COUNTIFS($B$5:$B$604,B334,$H$5:$H$604,EDATE(H334,-1),$C$5:$C$604,"&gt;="&amp;C334*0.85,$C$5:$C$604,"&lt;="&amp;C334*1.15)&gt;0,"recurring",""))</f>
        <v/>
      </c>
      <c r="P334" s="157" t="str">
        <f aca="false">IF(B334="","",IF(COUNTIF(B334:$B$604,B334)=1,1,""))</f>
        <v/>
      </c>
      <c r="Q334" s="157" t="str">
        <f aca="false">IF(AND(O334="recurring",P334=1),COUNTIFS($O$5:O334,"recurring",$P$5:P334,1),"")</f>
        <v/>
      </c>
    </row>
    <row r="335" customFormat="false" ht="15" hidden="false" customHeight="false" outlineLevel="0" collapsed="false">
      <c r="A335" s="110"/>
      <c r="B335" s="108"/>
      <c r="C335" s="142"/>
      <c r="D335" s="108"/>
      <c r="E335" s="183" t="str">
        <f aca="false" t="array" ref="E335:E335">IF(B335="","",IFERROR(INDEX(Keywords!$B$5:$B$165,MAX(ISNUMBER(SEARCH(Keywords!$A$5:$A$165,B335))*(Keywords!$A$5:$A$165&lt;&gt;"")*ROW(Keywords!$A$5:$A$165))-4),""))</f>
        <v/>
      </c>
      <c r="F335" s="150" t="str">
        <f aca="false">IF(B335="","",IF(L335="Transfer","Transfer",IF(L335="Income","Income",IF(D335&lt;&gt;"",D335,IF(E335&lt;&gt;"",E335,"Uncategorized")))))</f>
        <v/>
      </c>
      <c r="G335" s="108"/>
      <c r="H335" s="184" t="str">
        <f aca="false">IF(A335="","",DATE(YEAR(A335),MONTH(A335),1))</f>
        <v/>
      </c>
      <c r="I335" s="185"/>
      <c r="J335" s="144"/>
      <c r="K335" s="159" t="str">
        <f aca="false">IF(C335="","",N(C335)/IF(N335&lt;&gt;"",N335,IF(J335="",1,IFERROR(INDEX(Setup!$C$23:$C$46,MATCH(J335,Setup!$A$23:$A$46,0)),1))))</f>
        <v/>
      </c>
      <c r="L335" s="144"/>
      <c r="M335" s="108"/>
      <c r="N335" s="111"/>
      <c r="O335" s="156" t="str">
        <f aca="false">IF(OR(B335="",L335="Transfer"),"",IF(COUNTIFS($B$5:$B$604,B335,$H$5:$H$604,EDATE(H335,-1),$C$5:$C$604,"&gt;="&amp;C335*0.85,$C$5:$C$604,"&lt;="&amp;C335*1.15)&gt;0,"recurring",""))</f>
        <v/>
      </c>
      <c r="P335" s="157" t="str">
        <f aca="false">IF(B335="","",IF(COUNTIF(B335:$B$604,B335)=1,1,""))</f>
        <v/>
      </c>
      <c r="Q335" s="157" t="str">
        <f aca="false">IF(AND(O335="recurring",P335=1),COUNTIFS($O$5:O335,"recurring",$P$5:P335,1),"")</f>
        <v/>
      </c>
    </row>
    <row r="336" customFormat="false" ht="15" hidden="false" customHeight="false" outlineLevel="0" collapsed="false">
      <c r="A336" s="110"/>
      <c r="B336" s="108"/>
      <c r="C336" s="142"/>
      <c r="D336" s="108"/>
      <c r="E336" s="183" t="str">
        <f aca="false" t="array" ref="E336:E336">IF(B336="","",IFERROR(INDEX(Keywords!$B$5:$B$165,MAX(ISNUMBER(SEARCH(Keywords!$A$5:$A$165,B336))*(Keywords!$A$5:$A$165&lt;&gt;"")*ROW(Keywords!$A$5:$A$165))-4),""))</f>
        <v/>
      </c>
      <c r="F336" s="150" t="str">
        <f aca="false">IF(B336="","",IF(L336="Transfer","Transfer",IF(L336="Income","Income",IF(D336&lt;&gt;"",D336,IF(E336&lt;&gt;"",E336,"Uncategorized")))))</f>
        <v/>
      </c>
      <c r="G336" s="108"/>
      <c r="H336" s="184" t="str">
        <f aca="false">IF(A336="","",DATE(YEAR(A336),MONTH(A336),1))</f>
        <v/>
      </c>
      <c r="I336" s="185"/>
      <c r="J336" s="144"/>
      <c r="K336" s="159" t="str">
        <f aca="false">IF(C336="","",N(C336)/IF(N336&lt;&gt;"",N336,IF(J336="",1,IFERROR(INDEX(Setup!$C$23:$C$46,MATCH(J336,Setup!$A$23:$A$46,0)),1))))</f>
        <v/>
      </c>
      <c r="L336" s="144"/>
      <c r="M336" s="108"/>
      <c r="N336" s="111"/>
      <c r="O336" s="156" t="str">
        <f aca="false">IF(OR(B336="",L336="Transfer"),"",IF(COUNTIFS($B$5:$B$604,B336,$H$5:$H$604,EDATE(H336,-1),$C$5:$C$604,"&gt;="&amp;C336*0.85,$C$5:$C$604,"&lt;="&amp;C336*1.15)&gt;0,"recurring",""))</f>
        <v/>
      </c>
      <c r="P336" s="157" t="str">
        <f aca="false">IF(B336="","",IF(COUNTIF(B336:$B$604,B336)=1,1,""))</f>
        <v/>
      </c>
      <c r="Q336" s="157" t="str">
        <f aca="false">IF(AND(O336="recurring",P336=1),COUNTIFS($O$5:O336,"recurring",$P$5:P336,1),"")</f>
        <v/>
      </c>
    </row>
    <row r="337" customFormat="false" ht="15" hidden="false" customHeight="false" outlineLevel="0" collapsed="false">
      <c r="A337" s="110"/>
      <c r="B337" s="108"/>
      <c r="C337" s="142"/>
      <c r="D337" s="108"/>
      <c r="E337" s="183" t="str">
        <f aca="false" t="array" ref="E337:E337">IF(B337="","",IFERROR(INDEX(Keywords!$B$5:$B$165,MAX(ISNUMBER(SEARCH(Keywords!$A$5:$A$165,B337))*(Keywords!$A$5:$A$165&lt;&gt;"")*ROW(Keywords!$A$5:$A$165))-4),""))</f>
        <v/>
      </c>
      <c r="F337" s="150" t="str">
        <f aca="false">IF(B337="","",IF(L337="Transfer","Transfer",IF(L337="Income","Income",IF(D337&lt;&gt;"",D337,IF(E337&lt;&gt;"",E337,"Uncategorized")))))</f>
        <v/>
      </c>
      <c r="G337" s="108"/>
      <c r="H337" s="184" t="str">
        <f aca="false">IF(A337="","",DATE(YEAR(A337),MONTH(A337),1))</f>
        <v/>
      </c>
      <c r="I337" s="185"/>
      <c r="J337" s="144"/>
      <c r="K337" s="159" t="str">
        <f aca="false">IF(C337="","",N(C337)/IF(N337&lt;&gt;"",N337,IF(J337="",1,IFERROR(INDEX(Setup!$C$23:$C$46,MATCH(J337,Setup!$A$23:$A$46,0)),1))))</f>
        <v/>
      </c>
      <c r="L337" s="144"/>
      <c r="M337" s="108"/>
      <c r="N337" s="111"/>
      <c r="O337" s="156" t="str">
        <f aca="false">IF(OR(B337="",L337="Transfer"),"",IF(COUNTIFS($B$5:$B$604,B337,$H$5:$H$604,EDATE(H337,-1),$C$5:$C$604,"&gt;="&amp;C337*0.85,$C$5:$C$604,"&lt;="&amp;C337*1.15)&gt;0,"recurring",""))</f>
        <v/>
      </c>
      <c r="P337" s="157" t="str">
        <f aca="false">IF(B337="","",IF(COUNTIF(B337:$B$604,B337)=1,1,""))</f>
        <v/>
      </c>
      <c r="Q337" s="157" t="str">
        <f aca="false">IF(AND(O337="recurring",P337=1),COUNTIFS($O$5:O337,"recurring",$P$5:P337,1),"")</f>
        <v/>
      </c>
    </row>
    <row r="338" customFormat="false" ht="15" hidden="false" customHeight="false" outlineLevel="0" collapsed="false">
      <c r="A338" s="110"/>
      <c r="B338" s="108"/>
      <c r="C338" s="142"/>
      <c r="D338" s="108"/>
      <c r="E338" s="183" t="str">
        <f aca="false" t="array" ref="E338:E338">IF(B338="","",IFERROR(INDEX(Keywords!$B$5:$B$165,MAX(ISNUMBER(SEARCH(Keywords!$A$5:$A$165,B338))*(Keywords!$A$5:$A$165&lt;&gt;"")*ROW(Keywords!$A$5:$A$165))-4),""))</f>
        <v/>
      </c>
      <c r="F338" s="150" t="str">
        <f aca="false">IF(B338="","",IF(L338="Transfer","Transfer",IF(L338="Income","Income",IF(D338&lt;&gt;"",D338,IF(E338&lt;&gt;"",E338,"Uncategorized")))))</f>
        <v/>
      </c>
      <c r="G338" s="108"/>
      <c r="H338" s="184" t="str">
        <f aca="false">IF(A338="","",DATE(YEAR(A338),MONTH(A338),1))</f>
        <v/>
      </c>
      <c r="I338" s="185"/>
      <c r="J338" s="144"/>
      <c r="K338" s="159" t="str">
        <f aca="false">IF(C338="","",N(C338)/IF(N338&lt;&gt;"",N338,IF(J338="",1,IFERROR(INDEX(Setup!$C$23:$C$46,MATCH(J338,Setup!$A$23:$A$46,0)),1))))</f>
        <v/>
      </c>
      <c r="L338" s="144"/>
      <c r="M338" s="108"/>
      <c r="N338" s="111"/>
      <c r="O338" s="156" t="str">
        <f aca="false">IF(OR(B338="",L338="Transfer"),"",IF(COUNTIFS($B$5:$B$604,B338,$H$5:$H$604,EDATE(H338,-1),$C$5:$C$604,"&gt;="&amp;C338*0.85,$C$5:$C$604,"&lt;="&amp;C338*1.15)&gt;0,"recurring",""))</f>
        <v/>
      </c>
      <c r="P338" s="157" t="str">
        <f aca="false">IF(B338="","",IF(COUNTIF(B338:$B$604,B338)=1,1,""))</f>
        <v/>
      </c>
      <c r="Q338" s="157" t="str">
        <f aca="false">IF(AND(O338="recurring",P338=1),COUNTIFS($O$5:O338,"recurring",$P$5:P338,1),"")</f>
        <v/>
      </c>
    </row>
    <row r="339" customFormat="false" ht="15" hidden="false" customHeight="false" outlineLevel="0" collapsed="false">
      <c r="A339" s="110"/>
      <c r="B339" s="108"/>
      <c r="C339" s="142"/>
      <c r="D339" s="108"/>
      <c r="E339" s="183" t="str">
        <f aca="false" t="array" ref="E339:E339">IF(B339="","",IFERROR(INDEX(Keywords!$B$5:$B$165,MAX(ISNUMBER(SEARCH(Keywords!$A$5:$A$165,B339))*(Keywords!$A$5:$A$165&lt;&gt;"")*ROW(Keywords!$A$5:$A$165))-4),""))</f>
        <v/>
      </c>
      <c r="F339" s="150" t="str">
        <f aca="false">IF(B339="","",IF(L339="Transfer","Transfer",IF(L339="Income","Income",IF(D339&lt;&gt;"",D339,IF(E339&lt;&gt;"",E339,"Uncategorized")))))</f>
        <v/>
      </c>
      <c r="G339" s="108"/>
      <c r="H339" s="184" t="str">
        <f aca="false">IF(A339="","",DATE(YEAR(A339),MONTH(A339),1))</f>
        <v/>
      </c>
      <c r="I339" s="185"/>
      <c r="J339" s="144"/>
      <c r="K339" s="159" t="str">
        <f aca="false">IF(C339="","",N(C339)/IF(N339&lt;&gt;"",N339,IF(J339="",1,IFERROR(INDEX(Setup!$C$23:$C$46,MATCH(J339,Setup!$A$23:$A$46,0)),1))))</f>
        <v/>
      </c>
      <c r="L339" s="144"/>
      <c r="M339" s="108"/>
      <c r="N339" s="111"/>
      <c r="O339" s="156" t="str">
        <f aca="false">IF(OR(B339="",L339="Transfer"),"",IF(COUNTIFS($B$5:$B$604,B339,$H$5:$H$604,EDATE(H339,-1),$C$5:$C$604,"&gt;="&amp;C339*0.85,$C$5:$C$604,"&lt;="&amp;C339*1.15)&gt;0,"recurring",""))</f>
        <v/>
      </c>
      <c r="P339" s="157" t="str">
        <f aca="false">IF(B339="","",IF(COUNTIF(B339:$B$604,B339)=1,1,""))</f>
        <v/>
      </c>
      <c r="Q339" s="157" t="str">
        <f aca="false">IF(AND(O339="recurring",P339=1),COUNTIFS($O$5:O339,"recurring",$P$5:P339,1),"")</f>
        <v/>
      </c>
    </row>
    <row r="340" customFormat="false" ht="15" hidden="false" customHeight="false" outlineLevel="0" collapsed="false">
      <c r="A340" s="110"/>
      <c r="B340" s="108"/>
      <c r="C340" s="142"/>
      <c r="D340" s="108"/>
      <c r="E340" s="183" t="str">
        <f aca="false" t="array" ref="E340:E340">IF(B340="","",IFERROR(INDEX(Keywords!$B$5:$B$165,MAX(ISNUMBER(SEARCH(Keywords!$A$5:$A$165,B340))*(Keywords!$A$5:$A$165&lt;&gt;"")*ROW(Keywords!$A$5:$A$165))-4),""))</f>
        <v/>
      </c>
      <c r="F340" s="150" t="str">
        <f aca="false">IF(B340="","",IF(L340="Transfer","Transfer",IF(L340="Income","Income",IF(D340&lt;&gt;"",D340,IF(E340&lt;&gt;"",E340,"Uncategorized")))))</f>
        <v/>
      </c>
      <c r="G340" s="108"/>
      <c r="H340" s="184" t="str">
        <f aca="false">IF(A340="","",DATE(YEAR(A340),MONTH(A340),1))</f>
        <v/>
      </c>
      <c r="I340" s="185"/>
      <c r="J340" s="144"/>
      <c r="K340" s="159" t="str">
        <f aca="false">IF(C340="","",N(C340)/IF(N340&lt;&gt;"",N340,IF(J340="",1,IFERROR(INDEX(Setup!$C$23:$C$46,MATCH(J340,Setup!$A$23:$A$46,0)),1))))</f>
        <v/>
      </c>
      <c r="L340" s="144"/>
      <c r="M340" s="108"/>
      <c r="N340" s="111"/>
      <c r="O340" s="156" t="str">
        <f aca="false">IF(OR(B340="",L340="Transfer"),"",IF(COUNTIFS($B$5:$B$604,B340,$H$5:$H$604,EDATE(H340,-1),$C$5:$C$604,"&gt;="&amp;C340*0.85,$C$5:$C$604,"&lt;="&amp;C340*1.15)&gt;0,"recurring",""))</f>
        <v/>
      </c>
      <c r="P340" s="157" t="str">
        <f aca="false">IF(B340="","",IF(COUNTIF(B340:$B$604,B340)=1,1,""))</f>
        <v/>
      </c>
      <c r="Q340" s="157" t="str">
        <f aca="false">IF(AND(O340="recurring",P340=1),COUNTIFS($O$5:O340,"recurring",$P$5:P340,1),"")</f>
        <v/>
      </c>
    </row>
    <row r="341" customFormat="false" ht="15" hidden="false" customHeight="false" outlineLevel="0" collapsed="false">
      <c r="A341" s="110"/>
      <c r="B341" s="108"/>
      <c r="C341" s="142"/>
      <c r="D341" s="108"/>
      <c r="E341" s="183" t="str">
        <f aca="false" t="array" ref="E341:E341">IF(B341="","",IFERROR(INDEX(Keywords!$B$5:$B$165,MAX(ISNUMBER(SEARCH(Keywords!$A$5:$A$165,B341))*(Keywords!$A$5:$A$165&lt;&gt;"")*ROW(Keywords!$A$5:$A$165))-4),""))</f>
        <v/>
      </c>
      <c r="F341" s="150" t="str">
        <f aca="false">IF(B341="","",IF(L341="Transfer","Transfer",IF(L341="Income","Income",IF(D341&lt;&gt;"",D341,IF(E341&lt;&gt;"",E341,"Uncategorized")))))</f>
        <v/>
      </c>
      <c r="G341" s="108"/>
      <c r="H341" s="184" t="str">
        <f aca="false">IF(A341="","",DATE(YEAR(A341),MONTH(A341),1))</f>
        <v/>
      </c>
      <c r="I341" s="185"/>
      <c r="J341" s="144"/>
      <c r="K341" s="159" t="str">
        <f aca="false">IF(C341="","",N(C341)/IF(N341&lt;&gt;"",N341,IF(J341="",1,IFERROR(INDEX(Setup!$C$23:$C$46,MATCH(J341,Setup!$A$23:$A$46,0)),1))))</f>
        <v/>
      </c>
      <c r="L341" s="144"/>
      <c r="M341" s="108"/>
      <c r="N341" s="111"/>
      <c r="O341" s="156" t="str">
        <f aca="false">IF(OR(B341="",L341="Transfer"),"",IF(COUNTIFS($B$5:$B$604,B341,$H$5:$H$604,EDATE(H341,-1),$C$5:$C$604,"&gt;="&amp;C341*0.85,$C$5:$C$604,"&lt;="&amp;C341*1.15)&gt;0,"recurring",""))</f>
        <v/>
      </c>
      <c r="P341" s="157" t="str">
        <f aca="false">IF(B341="","",IF(COUNTIF(B341:$B$604,B341)=1,1,""))</f>
        <v/>
      </c>
      <c r="Q341" s="157" t="str">
        <f aca="false">IF(AND(O341="recurring",P341=1),COUNTIFS($O$5:O341,"recurring",$P$5:P341,1),"")</f>
        <v/>
      </c>
    </row>
    <row r="342" customFormat="false" ht="15" hidden="false" customHeight="false" outlineLevel="0" collapsed="false">
      <c r="A342" s="110"/>
      <c r="B342" s="108"/>
      <c r="C342" s="142"/>
      <c r="D342" s="108"/>
      <c r="E342" s="183" t="str">
        <f aca="false" t="array" ref="E342:E342">IF(B342="","",IFERROR(INDEX(Keywords!$B$5:$B$165,MAX(ISNUMBER(SEARCH(Keywords!$A$5:$A$165,B342))*(Keywords!$A$5:$A$165&lt;&gt;"")*ROW(Keywords!$A$5:$A$165))-4),""))</f>
        <v/>
      </c>
      <c r="F342" s="150" t="str">
        <f aca="false">IF(B342="","",IF(L342="Transfer","Transfer",IF(L342="Income","Income",IF(D342&lt;&gt;"",D342,IF(E342&lt;&gt;"",E342,"Uncategorized")))))</f>
        <v/>
      </c>
      <c r="G342" s="108"/>
      <c r="H342" s="184" t="str">
        <f aca="false">IF(A342="","",DATE(YEAR(A342),MONTH(A342),1))</f>
        <v/>
      </c>
      <c r="I342" s="185"/>
      <c r="J342" s="144"/>
      <c r="K342" s="159" t="str">
        <f aca="false">IF(C342="","",N(C342)/IF(N342&lt;&gt;"",N342,IF(J342="",1,IFERROR(INDEX(Setup!$C$23:$C$46,MATCH(J342,Setup!$A$23:$A$46,0)),1))))</f>
        <v/>
      </c>
      <c r="L342" s="144"/>
      <c r="M342" s="108"/>
      <c r="N342" s="111"/>
      <c r="O342" s="156" t="str">
        <f aca="false">IF(OR(B342="",L342="Transfer"),"",IF(COUNTIFS($B$5:$B$604,B342,$H$5:$H$604,EDATE(H342,-1),$C$5:$C$604,"&gt;="&amp;C342*0.85,$C$5:$C$604,"&lt;="&amp;C342*1.15)&gt;0,"recurring",""))</f>
        <v/>
      </c>
      <c r="P342" s="157" t="str">
        <f aca="false">IF(B342="","",IF(COUNTIF(B342:$B$604,B342)=1,1,""))</f>
        <v/>
      </c>
      <c r="Q342" s="157" t="str">
        <f aca="false">IF(AND(O342="recurring",P342=1),COUNTIFS($O$5:O342,"recurring",$P$5:P342,1),"")</f>
        <v/>
      </c>
    </row>
    <row r="343" customFormat="false" ht="15" hidden="false" customHeight="false" outlineLevel="0" collapsed="false">
      <c r="A343" s="110"/>
      <c r="B343" s="108"/>
      <c r="C343" s="142"/>
      <c r="D343" s="108"/>
      <c r="E343" s="183" t="str">
        <f aca="false" t="array" ref="E343:E343">IF(B343="","",IFERROR(INDEX(Keywords!$B$5:$B$165,MAX(ISNUMBER(SEARCH(Keywords!$A$5:$A$165,B343))*(Keywords!$A$5:$A$165&lt;&gt;"")*ROW(Keywords!$A$5:$A$165))-4),""))</f>
        <v/>
      </c>
      <c r="F343" s="150" t="str">
        <f aca="false">IF(B343="","",IF(L343="Transfer","Transfer",IF(L343="Income","Income",IF(D343&lt;&gt;"",D343,IF(E343&lt;&gt;"",E343,"Uncategorized")))))</f>
        <v/>
      </c>
      <c r="G343" s="108"/>
      <c r="H343" s="184" t="str">
        <f aca="false">IF(A343="","",DATE(YEAR(A343),MONTH(A343),1))</f>
        <v/>
      </c>
      <c r="I343" s="185"/>
      <c r="J343" s="144"/>
      <c r="K343" s="159" t="str">
        <f aca="false">IF(C343="","",N(C343)/IF(N343&lt;&gt;"",N343,IF(J343="",1,IFERROR(INDEX(Setup!$C$23:$C$46,MATCH(J343,Setup!$A$23:$A$46,0)),1))))</f>
        <v/>
      </c>
      <c r="L343" s="144"/>
      <c r="M343" s="108"/>
      <c r="N343" s="111"/>
      <c r="O343" s="156" t="str">
        <f aca="false">IF(OR(B343="",L343="Transfer"),"",IF(COUNTIFS($B$5:$B$604,B343,$H$5:$H$604,EDATE(H343,-1),$C$5:$C$604,"&gt;="&amp;C343*0.85,$C$5:$C$604,"&lt;="&amp;C343*1.15)&gt;0,"recurring",""))</f>
        <v/>
      </c>
      <c r="P343" s="157" t="str">
        <f aca="false">IF(B343="","",IF(COUNTIF(B343:$B$604,B343)=1,1,""))</f>
        <v/>
      </c>
      <c r="Q343" s="157" t="str">
        <f aca="false">IF(AND(O343="recurring",P343=1),COUNTIFS($O$5:O343,"recurring",$P$5:P343,1),"")</f>
        <v/>
      </c>
    </row>
    <row r="344" customFormat="false" ht="15" hidden="false" customHeight="false" outlineLevel="0" collapsed="false">
      <c r="A344" s="110"/>
      <c r="B344" s="108"/>
      <c r="C344" s="142"/>
      <c r="D344" s="108"/>
      <c r="E344" s="183" t="str">
        <f aca="false" t="array" ref="E344:E344">IF(B344="","",IFERROR(INDEX(Keywords!$B$5:$B$165,MAX(ISNUMBER(SEARCH(Keywords!$A$5:$A$165,B344))*(Keywords!$A$5:$A$165&lt;&gt;"")*ROW(Keywords!$A$5:$A$165))-4),""))</f>
        <v/>
      </c>
      <c r="F344" s="150" t="str">
        <f aca="false">IF(B344="","",IF(L344="Transfer","Transfer",IF(L344="Income","Income",IF(D344&lt;&gt;"",D344,IF(E344&lt;&gt;"",E344,"Uncategorized")))))</f>
        <v/>
      </c>
      <c r="G344" s="108"/>
      <c r="H344" s="184" t="str">
        <f aca="false">IF(A344="","",DATE(YEAR(A344),MONTH(A344),1))</f>
        <v/>
      </c>
      <c r="I344" s="185"/>
      <c r="J344" s="144"/>
      <c r="K344" s="159" t="str">
        <f aca="false">IF(C344="","",N(C344)/IF(N344&lt;&gt;"",N344,IF(J344="",1,IFERROR(INDEX(Setup!$C$23:$C$46,MATCH(J344,Setup!$A$23:$A$46,0)),1))))</f>
        <v/>
      </c>
      <c r="L344" s="144"/>
      <c r="M344" s="108"/>
      <c r="N344" s="111"/>
      <c r="O344" s="156" t="str">
        <f aca="false">IF(OR(B344="",L344="Transfer"),"",IF(COUNTIFS($B$5:$B$604,B344,$H$5:$H$604,EDATE(H344,-1),$C$5:$C$604,"&gt;="&amp;C344*0.85,$C$5:$C$604,"&lt;="&amp;C344*1.15)&gt;0,"recurring",""))</f>
        <v/>
      </c>
      <c r="P344" s="157" t="str">
        <f aca="false">IF(B344="","",IF(COUNTIF(B344:$B$604,B344)=1,1,""))</f>
        <v/>
      </c>
      <c r="Q344" s="157" t="str">
        <f aca="false">IF(AND(O344="recurring",P344=1),COUNTIFS($O$5:O344,"recurring",$P$5:P344,1),"")</f>
        <v/>
      </c>
    </row>
    <row r="345" customFormat="false" ht="15" hidden="false" customHeight="false" outlineLevel="0" collapsed="false">
      <c r="A345" s="110"/>
      <c r="B345" s="108"/>
      <c r="C345" s="142"/>
      <c r="D345" s="108"/>
      <c r="E345" s="183" t="str">
        <f aca="false" t="array" ref="E345:E345">IF(B345="","",IFERROR(INDEX(Keywords!$B$5:$B$165,MAX(ISNUMBER(SEARCH(Keywords!$A$5:$A$165,B345))*(Keywords!$A$5:$A$165&lt;&gt;"")*ROW(Keywords!$A$5:$A$165))-4),""))</f>
        <v/>
      </c>
      <c r="F345" s="150" t="str">
        <f aca="false">IF(B345="","",IF(L345="Transfer","Transfer",IF(L345="Income","Income",IF(D345&lt;&gt;"",D345,IF(E345&lt;&gt;"",E345,"Uncategorized")))))</f>
        <v/>
      </c>
      <c r="G345" s="108"/>
      <c r="H345" s="184" t="str">
        <f aca="false">IF(A345="","",DATE(YEAR(A345),MONTH(A345),1))</f>
        <v/>
      </c>
      <c r="I345" s="185"/>
      <c r="J345" s="144"/>
      <c r="K345" s="159" t="str">
        <f aca="false">IF(C345="","",N(C345)/IF(N345&lt;&gt;"",N345,IF(J345="",1,IFERROR(INDEX(Setup!$C$23:$C$46,MATCH(J345,Setup!$A$23:$A$46,0)),1))))</f>
        <v/>
      </c>
      <c r="L345" s="144"/>
      <c r="M345" s="108"/>
      <c r="N345" s="111"/>
      <c r="O345" s="156" t="str">
        <f aca="false">IF(OR(B345="",L345="Transfer"),"",IF(COUNTIFS($B$5:$B$604,B345,$H$5:$H$604,EDATE(H345,-1),$C$5:$C$604,"&gt;="&amp;C345*0.85,$C$5:$C$604,"&lt;="&amp;C345*1.15)&gt;0,"recurring",""))</f>
        <v/>
      </c>
      <c r="P345" s="157" t="str">
        <f aca="false">IF(B345="","",IF(COUNTIF(B345:$B$604,B345)=1,1,""))</f>
        <v/>
      </c>
      <c r="Q345" s="157" t="str">
        <f aca="false">IF(AND(O345="recurring",P345=1),COUNTIFS($O$5:O345,"recurring",$P$5:P345,1),"")</f>
        <v/>
      </c>
    </row>
    <row r="346" customFormat="false" ht="15" hidden="false" customHeight="false" outlineLevel="0" collapsed="false">
      <c r="A346" s="110"/>
      <c r="B346" s="108"/>
      <c r="C346" s="142"/>
      <c r="D346" s="108"/>
      <c r="E346" s="183" t="str">
        <f aca="false" t="array" ref="E346:E346">IF(B346="","",IFERROR(INDEX(Keywords!$B$5:$B$165,MAX(ISNUMBER(SEARCH(Keywords!$A$5:$A$165,B346))*(Keywords!$A$5:$A$165&lt;&gt;"")*ROW(Keywords!$A$5:$A$165))-4),""))</f>
        <v/>
      </c>
      <c r="F346" s="150" t="str">
        <f aca="false">IF(B346="","",IF(L346="Transfer","Transfer",IF(L346="Income","Income",IF(D346&lt;&gt;"",D346,IF(E346&lt;&gt;"",E346,"Uncategorized")))))</f>
        <v/>
      </c>
      <c r="G346" s="108"/>
      <c r="H346" s="184" t="str">
        <f aca="false">IF(A346="","",DATE(YEAR(A346),MONTH(A346),1))</f>
        <v/>
      </c>
      <c r="I346" s="185"/>
      <c r="J346" s="144"/>
      <c r="K346" s="159" t="str">
        <f aca="false">IF(C346="","",N(C346)/IF(N346&lt;&gt;"",N346,IF(J346="",1,IFERROR(INDEX(Setup!$C$23:$C$46,MATCH(J346,Setup!$A$23:$A$46,0)),1))))</f>
        <v/>
      </c>
      <c r="L346" s="144"/>
      <c r="M346" s="108"/>
      <c r="N346" s="111"/>
      <c r="O346" s="156" t="str">
        <f aca="false">IF(OR(B346="",L346="Transfer"),"",IF(COUNTIFS($B$5:$B$604,B346,$H$5:$H$604,EDATE(H346,-1),$C$5:$C$604,"&gt;="&amp;C346*0.85,$C$5:$C$604,"&lt;="&amp;C346*1.15)&gt;0,"recurring",""))</f>
        <v/>
      </c>
      <c r="P346" s="157" t="str">
        <f aca="false">IF(B346="","",IF(COUNTIF(B346:$B$604,B346)=1,1,""))</f>
        <v/>
      </c>
      <c r="Q346" s="157" t="str">
        <f aca="false">IF(AND(O346="recurring",P346=1),COUNTIFS($O$5:O346,"recurring",$P$5:P346,1),"")</f>
        <v/>
      </c>
    </row>
    <row r="347" customFormat="false" ht="15" hidden="false" customHeight="false" outlineLevel="0" collapsed="false">
      <c r="A347" s="110"/>
      <c r="B347" s="108"/>
      <c r="C347" s="142"/>
      <c r="D347" s="108"/>
      <c r="E347" s="183" t="str">
        <f aca="false" t="array" ref="E347:E347">IF(B347="","",IFERROR(INDEX(Keywords!$B$5:$B$165,MAX(ISNUMBER(SEARCH(Keywords!$A$5:$A$165,B347))*(Keywords!$A$5:$A$165&lt;&gt;"")*ROW(Keywords!$A$5:$A$165))-4),""))</f>
        <v/>
      </c>
      <c r="F347" s="150" t="str">
        <f aca="false">IF(B347="","",IF(L347="Transfer","Transfer",IF(L347="Income","Income",IF(D347&lt;&gt;"",D347,IF(E347&lt;&gt;"",E347,"Uncategorized")))))</f>
        <v/>
      </c>
      <c r="G347" s="108"/>
      <c r="H347" s="184" t="str">
        <f aca="false">IF(A347="","",DATE(YEAR(A347),MONTH(A347),1))</f>
        <v/>
      </c>
      <c r="I347" s="185"/>
      <c r="J347" s="144"/>
      <c r="K347" s="159" t="str">
        <f aca="false">IF(C347="","",N(C347)/IF(N347&lt;&gt;"",N347,IF(J347="",1,IFERROR(INDEX(Setup!$C$23:$C$46,MATCH(J347,Setup!$A$23:$A$46,0)),1))))</f>
        <v/>
      </c>
      <c r="L347" s="144"/>
      <c r="M347" s="108"/>
      <c r="N347" s="111"/>
      <c r="O347" s="156" t="str">
        <f aca="false">IF(OR(B347="",L347="Transfer"),"",IF(COUNTIFS($B$5:$B$604,B347,$H$5:$H$604,EDATE(H347,-1),$C$5:$C$604,"&gt;="&amp;C347*0.85,$C$5:$C$604,"&lt;="&amp;C347*1.15)&gt;0,"recurring",""))</f>
        <v/>
      </c>
      <c r="P347" s="157" t="str">
        <f aca="false">IF(B347="","",IF(COUNTIF(B347:$B$604,B347)=1,1,""))</f>
        <v/>
      </c>
      <c r="Q347" s="157" t="str">
        <f aca="false">IF(AND(O347="recurring",P347=1),COUNTIFS($O$5:O347,"recurring",$P$5:P347,1),"")</f>
        <v/>
      </c>
    </row>
    <row r="348" customFormat="false" ht="15" hidden="false" customHeight="false" outlineLevel="0" collapsed="false">
      <c r="A348" s="110"/>
      <c r="B348" s="108"/>
      <c r="C348" s="142"/>
      <c r="D348" s="108"/>
      <c r="E348" s="183" t="str">
        <f aca="false" t="array" ref="E348:E348">IF(B348="","",IFERROR(INDEX(Keywords!$B$5:$B$165,MAX(ISNUMBER(SEARCH(Keywords!$A$5:$A$165,B348))*(Keywords!$A$5:$A$165&lt;&gt;"")*ROW(Keywords!$A$5:$A$165))-4),""))</f>
        <v/>
      </c>
      <c r="F348" s="150" t="str">
        <f aca="false">IF(B348="","",IF(L348="Transfer","Transfer",IF(L348="Income","Income",IF(D348&lt;&gt;"",D348,IF(E348&lt;&gt;"",E348,"Uncategorized")))))</f>
        <v/>
      </c>
      <c r="G348" s="108"/>
      <c r="H348" s="184" t="str">
        <f aca="false">IF(A348="","",DATE(YEAR(A348),MONTH(A348),1))</f>
        <v/>
      </c>
      <c r="I348" s="185"/>
      <c r="J348" s="144"/>
      <c r="K348" s="159" t="str">
        <f aca="false">IF(C348="","",N(C348)/IF(N348&lt;&gt;"",N348,IF(J348="",1,IFERROR(INDEX(Setup!$C$23:$C$46,MATCH(J348,Setup!$A$23:$A$46,0)),1))))</f>
        <v/>
      </c>
      <c r="L348" s="144"/>
      <c r="M348" s="108"/>
      <c r="N348" s="111"/>
      <c r="O348" s="156" t="str">
        <f aca="false">IF(OR(B348="",L348="Transfer"),"",IF(COUNTIFS($B$5:$B$604,B348,$H$5:$H$604,EDATE(H348,-1),$C$5:$C$604,"&gt;="&amp;C348*0.85,$C$5:$C$604,"&lt;="&amp;C348*1.15)&gt;0,"recurring",""))</f>
        <v/>
      </c>
      <c r="P348" s="157" t="str">
        <f aca="false">IF(B348="","",IF(COUNTIF(B348:$B$604,B348)=1,1,""))</f>
        <v/>
      </c>
      <c r="Q348" s="157" t="str">
        <f aca="false">IF(AND(O348="recurring",P348=1),COUNTIFS($O$5:O348,"recurring",$P$5:P348,1),"")</f>
        <v/>
      </c>
    </row>
    <row r="349" customFormat="false" ht="15" hidden="false" customHeight="false" outlineLevel="0" collapsed="false">
      <c r="A349" s="110"/>
      <c r="B349" s="108"/>
      <c r="C349" s="142"/>
      <c r="D349" s="108"/>
      <c r="E349" s="183" t="str">
        <f aca="false" t="array" ref="E349:E349">IF(B349="","",IFERROR(INDEX(Keywords!$B$5:$B$165,MAX(ISNUMBER(SEARCH(Keywords!$A$5:$A$165,B349))*(Keywords!$A$5:$A$165&lt;&gt;"")*ROW(Keywords!$A$5:$A$165))-4),""))</f>
        <v/>
      </c>
      <c r="F349" s="150" t="str">
        <f aca="false">IF(B349="","",IF(L349="Transfer","Transfer",IF(L349="Income","Income",IF(D349&lt;&gt;"",D349,IF(E349&lt;&gt;"",E349,"Uncategorized")))))</f>
        <v/>
      </c>
      <c r="G349" s="108"/>
      <c r="H349" s="184" t="str">
        <f aca="false">IF(A349="","",DATE(YEAR(A349),MONTH(A349),1))</f>
        <v/>
      </c>
      <c r="I349" s="185"/>
      <c r="J349" s="144"/>
      <c r="K349" s="159" t="str">
        <f aca="false">IF(C349="","",N(C349)/IF(N349&lt;&gt;"",N349,IF(J349="",1,IFERROR(INDEX(Setup!$C$23:$C$46,MATCH(J349,Setup!$A$23:$A$46,0)),1))))</f>
        <v/>
      </c>
      <c r="L349" s="144"/>
      <c r="M349" s="108"/>
      <c r="N349" s="111"/>
      <c r="O349" s="156" t="str">
        <f aca="false">IF(OR(B349="",L349="Transfer"),"",IF(COUNTIFS($B$5:$B$604,B349,$H$5:$H$604,EDATE(H349,-1),$C$5:$C$604,"&gt;="&amp;C349*0.85,$C$5:$C$604,"&lt;="&amp;C349*1.15)&gt;0,"recurring",""))</f>
        <v/>
      </c>
      <c r="P349" s="157" t="str">
        <f aca="false">IF(B349="","",IF(COUNTIF(B349:$B$604,B349)=1,1,""))</f>
        <v/>
      </c>
      <c r="Q349" s="157" t="str">
        <f aca="false">IF(AND(O349="recurring",P349=1),COUNTIFS($O$5:O349,"recurring",$P$5:P349,1),"")</f>
        <v/>
      </c>
    </row>
    <row r="350" customFormat="false" ht="15" hidden="false" customHeight="false" outlineLevel="0" collapsed="false">
      <c r="A350" s="110"/>
      <c r="B350" s="108"/>
      <c r="C350" s="142"/>
      <c r="D350" s="108"/>
      <c r="E350" s="183" t="str">
        <f aca="false" t="array" ref="E350:E350">IF(B350="","",IFERROR(INDEX(Keywords!$B$5:$B$165,MAX(ISNUMBER(SEARCH(Keywords!$A$5:$A$165,B350))*(Keywords!$A$5:$A$165&lt;&gt;"")*ROW(Keywords!$A$5:$A$165))-4),""))</f>
        <v/>
      </c>
      <c r="F350" s="150" t="str">
        <f aca="false">IF(B350="","",IF(L350="Transfer","Transfer",IF(L350="Income","Income",IF(D350&lt;&gt;"",D350,IF(E350&lt;&gt;"",E350,"Uncategorized")))))</f>
        <v/>
      </c>
      <c r="G350" s="108"/>
      <c r="H350" s="184" t="str">
        <f aca="false">IF(A350="","",DATE(YEAR(A350),MONTH(A350),1))</f>
        <v/>
      </c>
      <c r="I350" s="185"/>
      <c r="J350" s="144"/>
      <c r="K350" s="159" t="str">
        <f aca="false">IF(C350="","",N(C350)/IF(N350&lt;&gt;"",N350,IF(J350="",1,IFERROR(INDEX(Setup!$C$23:$C$46,MATCH(J350,Setup!$A$23:$A$46,0)),1))))</f>
        <v/>
      </c>
      <c r="L350" s="144"/>
      <c r="M350" s="108"/>
      <c r="N350" s="111"/>
      <c r="O350" s="156" t="str">
        <f aca="false">IF(OR(B350="",L350="Transfer"),"",IF(COUNTIFS($B$5:$B$604,B350,$H$5:$H$604,EDATE(H350,-1),$C$5:$C$604,"&gt;="&amp;C350*0.85,$C$5:$C$604,"&lt;="&amp;C350*1.15)&gt;0,"recurring",""))</f>
        <v/>
      </c>
      <c r="P350" s="157" t="str">
        <f aca="false">IF(B350="","",IF(COUNTIF(B350:$B$604,B350)=1,1,""))</f>
        <v/>
      </c>
      <c r="Q350" s="157" t="str">
        <f aca="false">IF(AND(O350="recurring",P350=1),COUNTIFS($O$5:O350,"recurring",$P$5:P350,1),"")</f>
        <v/>
      </c>
    </row>
    <row r="351" customFormat="false" ht="15" hidden="false" customHeight="false" outlineLevel="0" collapsed="false">
      <c r="A351" s="110"/>
      <c r="B351" s="108"/>
      <c r="C351" s="142"/>
      <c r="D351" s="108"/>
      <c r="E351" s="183" t="str">
        <f aca="false" t="array" ref="E351:E351">IF(B351="","",IFERROR(INDEX(Keywords!$B$5:$B$165,MAX(ISNUMBER(SEARCH(Keywords!$A$5:$A$165,B351))*(Keywords!$A$5:$A$165&lt;&gt;"")*ROW(Keywords!$A$5:$A$165))-4),""))</f>
        <v/>
      </c>
      <c r="F351" s="150" t="str">
        <f aca="false">IF(B351="","",IF(L351="Transfer","Transfer",IF(L351="Income","Income",IF(D351&lt;&gt;"",D351,IF(E351&lt;&gt;"",E351,"Uncategorized")))))</f>
        <v/>
      </c>
      <c r="G351" s="108"/>
      <c r="H351" s="184" t="str">
        <f aca="false">IF(A351="","",DATE(YEAR(A351),MONTH(A351),1))</f>
        <v/>
      </c>
      <c r="I351" s="185"/>
      <c r="J351" s="144"/>
      <c r="K351" s="159" t="str">
        <f aca="false">IF(C351="","",N(C351)/IF(N351&lt;&gt;"",N351,IF(J351="",1,IFERROR(INDEX(Setup!$C$23:$C$46,MATCH(J351,Setup!$A$23:$A$46,0)),1))))</f>
        <v/>
      </c>
      <c r="L351" s="144"/>
      <c r="M351" s="108"/>
      <c r="N351" s="111"/>
      <c r="O351" s="156" t="str">
        <f aca="false">IF(OR(B351="",L351="Transfer"),"",IF(COUNTIFS($B$5:$B$604,B351,$H$5:$H$604,EDATE(H351,-1),$C$5:$C$604,"&gt;="&amp;C351*0.85,$C$5:$C$604,"&lt;="&amp;C351*1.15)&gt;0,"recurring",""))</f>
        <v/>
      </c>
      <c r="P351" s="157" t="str">
        <f aca="false">IF(B351="","",IF(COUNTIF(B351:$B$604,B351)=1,1,""))</f>
        <v/>
      </c>
      <c r="Q351" s="157" t="str">
        <f aca="false">IF(AND(O351="recurring",P351=1),COUNTIFS($O$5:O351,"recurring",$P$5:P351,1),"")</f>
        <v/>
      </c>
    </row>
    <row r="352" customFormat="false" ht="15" hidden="false" customHeight="false" outlineLevel="0" collapsed="false">
      <c r="A352" s="110"/>
      <c r="B352" s="108"/>
      <c r="C352" s="142"/>
      <c r="D352" s="108"/>
      <c r="E352" s="183" t="str">
        <f aca="false" t="array" ref="E352:E352">IF(B352="","",IFERROR(INDEX(Keywords!$B$5:$B$165,MAX(ISNUMBER(SEARCH(Keywords!$A$5:$A$165,B352))*(Keywords!$A$5:$A$165&lt;&gt;"")*ROW(Keywords!$A$5:$A$165))-4),""))</f>
        <v/>
      </c>
      <c r="F352" s="150" t="str">
        <f aca="false">IF(B352="","",IF(L352="Transfer","Transfer",IF(L352="Income","Income",IF(D352&lt;&gt;"",D352,IF(E352&lt;&gt;"",E352,"Uncategorized")))))</f>
        <v/>
      </c>
      <c r="G352" s="108"/>
      <c r="H352" s="184" t="str">
        <f aca="false">IF(A352="","",DATE(YEAR(A352),MONTH(A352),1))</f>
        <v/>
      </c>
      <c r="I352" s="185"/>
      <c r="J352" s="144"/>
      <c r="K352" s="159" t="str">
        <f aca="false">IF(C352="","",N(C352)/IF(N352&lt;&gt;"",N352,IF(J352="",1,IFERROR(INDEX(Setup!$C$23:$C$46,MATCH(J352,Setup!$A$23:$A$46,0)),1))))</f>
        <v/>
      </c>
      <c r="L352" s="144"/>
      <c r="M352" s="108"/>
      <c r="N352" s="111"/>
      <c r="O352" s="156" t="str">
        <f aca="false">IF(OR(B352="",L352="Transfer"),"",IF(COUNTIFS($B$5:$B$604,B352,$H$5:$H$604,EDATE(H352,-1),$C$5:$C$604,"&gt;="&amp;C352*0.85,$C$5:$C$604,"&lt;="&amp;C352*1.15)&gt;0,"recurring",""))</f>
        <v/>
      </c>
      <c r="P352" s="157" t="str">
        <f aca="false">IF(B352="","",IF(COUNTIF(B352:$B$604,B352)=1,1,""))</f>
        <v/>
      </c>
      <c r="Q352" s="157" t="str">
        <f aca="false">IF(AND(O352="recurring",P352=1),COUNTIFS($O$5:O352,"recurring",$P$5:P352,1),"")</f>
        <v/>
      </c>
    </row>
    <row r="353" customFormat="false" ht="15" hidden="false" customHeight="false" outlineLevel="0" collapsed="false">
      <c r="A353" s="110"/>
      <c r="B353" s="108"/>
      <c r="C353" s="142"/>
      <c r="D353" s="108"/>
      <c r="E353" s="183" t="str">
        <f aca="false" t="array" ref="E353:E353">IF(B353="","",IFERROR(INDEX(Keywords!$B$5:$B$165,MAX(ISNUMBER(SEARCH(Keywords!$A$5:$A$165,B353))*(Keywords!$A$5:$A$165&lt;&gt;"")*ROW(Keywords!$A$5:$A$165))-4),""))</f>
        <v/>
      </c>
      <c r="F353" s="150" t="str">
        <f aca="false">IF(B353="","",IF(L353="Transfer","Transfer",IF(L353="Income","Income",IF(D353&lt;&gt;"",D353,IF(E353&lt;&gt;"",E353,"Uncategorized")))))</f>
        <v/>
      </c>
      <c r="G353" s="108"/>
      <c r="H353" s="184" t="str">
        <f aca="false">IF(A353="","",DATE(YEAR(A353),MONTH(A353),1))</f>
        <v/>
      </c>
      <c r="I353" s="185"/>
      <c r="J353" s="144"/>
      <c r="K353" s="159" t="str">
        <f aca="false">IF(C353="","",N(C353)/IF(N353&lt;&gt;"",N353,IF(J353="",1,IFERROR(INDEX(Setup!$C$23:$C$46,MATCH(J353,Setup!$A$23:$A$46,0)),1))))</f>
        <v/>
      </c>
      <c r="L353" s="144"/>
      <c r="M353" s="108"/>
      <c r="N353" s="111"/>
      <c r="O353" s="156" t="str">
        <f aca="false">IF(OR(B353="",L353="Transfer"),"",IF(COUNTIFS($B$5:$B$604,B353,$H$5:$H$604,EDATE(H353,-1),$C$5:$C$604,"&gt;="&amp;C353*0.85,$C$5:$C$604,"&lt;="&amp;C353*1.15)&gt;0,"recurring",""))</f>
        <v/>
      </c>
      <c r="P353" s="157" t="str">
        <f aca="false">IF(B353="","",IF(COUNTIF(B353:$B$604,B353)=1,1,""))</f>
        <v/>
      </c>
      <c r="Q353" s="157" t="str">
        <f aca="false">IF(AND(O353="recurring",P353=1),COUNTIFS($O$5:O353,"recurring",$P$5:P353,1),"")</f>
        <v/>
      </c>
    </row>
    <row r="354" customFormat="false" ht="15" hidden="false" customHeight="false" outlineLevel="0" collapsed="false">
      <c r="A354" s="110"/>
      <c r="B354" s="108"/>
      <c r="C354" s="142"/>
      <c r="D354" s="108"/>
      <c r="E354" s="183" t="str">
        <f aca="false" t="array" ref="E354:E354">IF(B354="","",IFERROR(INDEX(Keywords!$B$5:$B$165,MAX(ISNUMBER(SEARCH(Keywords!$A$5:$A$165,B354))*(Keywords!$A$5:$A$165&lt;&gt;"")*ROW(Keywords!$A$5:$A$165))-4),""))</f>
        <v/>
      </c>
      <c r="F354" s="150" t="str">
        <f aca="false">IF(B354="","",IF(L354="Transfer","Transfer",IF(L354="Income","Income",IF(D354&lt;&gt;"",D354,IF(E354&lt;&gt;"",E354,"Uncategorized")))))</f>
        <v/>
      </c>
      <c r="G354" s="108"/>
      <c r="H354" s="184" t="str">
        <f aca="false">IF(A354="","",DATE(YEAR(A354),MONTH(A354),1))</f>
        <v/>
      </c>
      <c r="I354" s="185"/>
      <c r="J354" s="144"/>
      <c r="K354" s="159" t="str">
        <f aca="false">IF(C354="","",N(C354)/IF(N354&lt;&gt;"",N354,IF(J354="",1,IFERROR(INDEX(Setup!$C$23:$C$46,MATCH(J354,Setup!$A$23:$A$46,0)),1))))</f>
        <v/>
      </c>
      <c r="L354" s="144"/>
      <c r="M354" s="108"/>
      <c r="N354" s="111"/>
      <c r="O354" s="156" t="str">
        <f aca="false">IF(OR(B354="",L354="Transfer"),"",IF(COUNTIFS($B$5:$B$604,B354,$H$5:$H$604,EDATE(H354,-1),$C$5:$C$604,"&gt;="&amp;C354*0.85,$C$5:$C$604,"&lt;="&amp;C354*1.15)&gt;0,"recurring",""))</f>
        <v/>
      </c>
      <c r="P354" s="157" t="str">
        <f aca="false">IF(B354="","",IF(COUNTIF(B354:$B$604,B354)=1,1,""))</f>
        <v/>
      </c>
      <c r="Q354" s="157" t="str">
        <f aca="false">IF(AND(O354="recurring",P354=1),COUNTIFS($O$5:O354,"recurring",$P$5:P354,1),"")</f>
        <v/>
      </c>
    </row>
    <row r="355" customFormat="false" ht="15" hidden="false" customHeight="false" outlineLevel="0" collapsed="false">
      <c r="A355" s="110"/>
      <c r="B355" s="108"/>
      <c r="C355" s="142"/>
      <c r="D355" s="108"/>
      <c r="E355" s="183" t="str">
        <f aca="false" t="array" ref="E355:E355">IF(B355="","",IFERROR(INDEX(Keywords!$B$5:$B$165,MAX(ISNUMBER(SEARCH(Keywords!$A$5:$A$165,B355))*(Keywords!$A$5:$A$165&lt;&gt;"")*ROW(Keywords!$A$5:$A$165))-4),""))</f>
        <v/>
      </c>
      <c r="F355" s="150" t="str">
        <f aca="false">IF(B355="","",IF(L355="Transfer","Transfer",IF(L355="Income","Income",IF(D355&lt;&gt;"",D355,IF(E355&lt;&gt;"",E355,"Uncategorized")))))</f>
        <v/>
      </c>
      <c r="G355" s="108"/>
      <c r="H355" s="184" t="str">
        <f aca="false">IF(A355="","",DATE(YEAR(A355),MONTH(A355),1))</f>
        <v/>
      </c>
      <c r="I355" s="185"/>
      <c r="J355" s="144"/>
      <c r="K355" s="159" t="str">
        <f aca="false">IF(C355="","",N(C355)/IF(N355&lt;&gt;"",N355,IF(J355="",1,IFERROR(INDEX(Setup!$C$23:$C$46,MATCH(J355,Setup!$A$23:$A$46,0)),1))))</f>
        <v/>
      </c>
      <c r="L355" s="144"/>
      <c r="M355" s="108"/>
      <c r="N355" s="111"/>
      <c r="O355" s="156" t="str">
        <f aca="false">IF(OR(B355="",L355="Transfer"),"",IF(COUNTIFS($B$5:$B$604,B355,$H$5:$H$604,EDATE(H355,-1),$C$5:$C$604,"&gt;="&amp;C355*0.85,$C$5:$C$604,"&lt;="&amp;C355*1.15)&gt;0,"recurring",""))</f>
        <v/>
      </c>
      <c r="P355" s="157" t="str">
        <f aca="false">IF(B355="","",IF(COUNTIF(B355:$B$604,B355)=1,1,""))</f>
        <v/>
      </c>
      <c r="Q355" s="157" t="str">
        <f aca="false">IF(AND(O355="recurring",P355=1),COUNTIFS($O$5:O355,"recurring",$P$5:P355,1),"")</f>
        <v/>
      </c>
    </row>
    <row r="356" customFormat="false" ht="15" hidden="false" customHeight="false" outlineLevel="0" collapsed="false">
      <c r="A356" s="110"/>
      <c r="B356" s="108"/>
      <c r="C356" s="142"/>
      <c r="D356" s="108"/>
      <c r="E356" s="183" t="str">
        <f aca="false" t="array" ref="E356:E356">IF(B356="","",IFERROR(INDEX(Keywords!$B$5:$B$165,MAX(ISNUMBER(SEARCH(Keywords!$A$5:$A$165,B356))*(Keywords!$A$5:$A$165&lt;&gt;"")*ROW(Keywords!$A$5:$A$165))-4),""))</f>
        <v/>
      </c>
      <c r="F356" s="150" t="str">
        <f aca="false">IF(B356="","",IF(L356="Transfer","Transfer",IF(L356="Income","Income",IF(D356&lt;&gt;"",D356,IF(E356&lt;&gt;"",E356,"Uncategorized")))))</f>
        <v/>
      </c>
      <c r="G356" s="108"/>
      <c r="H356" s="184" t="str">
        <f aca="false">IF(A356="","",DATE(YEAR(A356),MONTH(A356),1))</f>
        <v/>
      </c>
      <c r="I356" s="185"/>
      <c r="J356" s="144"/>
      <c r="K356" s="159" t="str">
        <f aca="false">IF(C356="","",N(C356)/IF(N356&lt;&gt;"",N356,IF(J356="",1,IFERROR(INDEX(Setup!$C$23:$C$46,MATCH(J356,Setup!$A$23:$A$46,0)),1))))</f>
        <v/>
      </c>
      <c r="L356" s="144"/>
      <c r="M356" s="108"/>
      <c r="N356" s="111"/>
      <c r="O356" s="156" t="str">
        <f aca="false">IF(OR(B356="",L356="Transfer"),"",IF(COUNTIFS($B$5:$B$604,B356,$H$5:$H$604,EDATE(H356,-1),$C$5:$C$604,"&gt;="&amp;C356*0.85,$C$5:$C$604,"&lt;="&amp;C356*1.15)&gt;0,"recurring",""))</f>
        <v/>
      </c>
      <c r="P356" s="157" t="str">
        <f aca="false">IF(B356="","",IF(COUNTIF(B356:$B$604,B356)=1,1,""))</f>
        <v/>
      </c>
      <c r="Q356" s="157" t="str">
        <f aca="false">IF(AND(O356="recurring",P356=1),COUNTIFS($O$5:O356,"recurring",$P$5:P356,1),"")</f>
        <v/>
      </c>
    </row>
    <row r="357" customFormat="false" ht="15" hidden="false" customHeight="false" outlineLevel="0" collapsed="false">
      <c r="A357" s="110"/>
      <c r="B357" s="108"/>
      <c r="C357" s="142"/>
      <c r="D357" s="108"/>
      <c r="E357" s="183" t="str">
        <f aca="false" t="array" ref="E357:E357">IF(B357="","",IFERROR(INDEX(Keywords!$B$5:$B$165,MAX(ISNUMBER(SEARCH(Keywords!$A$5:$A$165,B357))*(Keywords!$A$5:$A$165&lt;&gt;"")*ROW(Keywords!$A$5:$A$165))-4),""))</f>
        <v/>
      </c>
      <c r="F357" s="150" t="str">
        <f aca="false">IF(B357="","",IF(L357="Transfer","Transfer",IF(L357="Income","Income",IF(D357&lt;&gt;"",D357,IF(E357&lt;&gt;"",E357,"Uncategorized")))))</f>
        <v/>
      </c>
      <c r="G357" s="108"/>
      <c r="H357" s="184" t="str">
        <f aca="false">IF(A357="","",DATE(YEAR(A357),MONTH(A357),1))</f>
        <v/>
      </c>
      <c r="I357" s="185"/>
      <c r="J357" s="144"/>
      <c r="K357" s="159" t="str">
        <f aca="false">IF(C357="","",N(C357)/IF(N357&lt;&gt;"",N357,IF(J357="",1,IFERROR(INDEX(Setup!$C$23:$C$46,MATCH(J357,Setup!$A$23:$A$46,0)),1))))</f>
        <v/>
      </c>
      <c r="L357" s="144"/>
      <c r="M357" s="108"/>
      <c r="N357" s="111"/>
      <c r="O357" s="156" t="str">
        <f aca="false">IF(OR(B357="",L357="Transfer"),"",IF(COUNTIFS($B$5:$B$604,B357,$H$5:$H$604,EDATE(H357,-1),$C$5:$C$604,"&gt;="&amp;C357*0.85,$C$5:$C$604,"&lt;="&amp;C357*1.15)&gt;0,"recurring",""))</f>
        <v/>
      </c>
      <c r="P357" s="157" t="str">
        <f aca="false">IF(B357="","",IF(COUNTIF(B357:$B$604,B357)=1,1,""))</f>
        <v/>
      </c>
      <c r="Q357" s="157" t="str">
        <f aca="false">IF(AND(O357="recurring",P357=1),COUNTIFS($O$5:O357,"recurring",$P$5:P357,1),"")</f>
        <v/>
      </c>
    </row>
    <row r="358" customFormat="false" ht="15" hidden="false" customHeight="false" outlineLevel="0" collapsed="false">
      <c r="A358" s="110"/>
      <c r="B358" s="108"/>
      <c r="C358" s="142"/>
      <c r="D358" s="108"/>
      <c r="E358" s="183" t="str">
        <f aca="false" t="array" ref="E358:E358">IF(B358="","",IFERROR(INDEX(Keywords!$B$5:$B$165,MAX(ISNUMBER(SEARCH(Keywords!$A$5:$A$165,B358))*(Keywords!$A$5:$A$165&lt;&gt;"")*ROW(Keywords!$A$5:$A$165))-4),""))</f>
        <v/>
      </c>
      <c r="F358" s="150" t="str">
        <f aca="false">IF(B358="","",IF(L358="Transfer","Transfer",IF(L358="Income","Income",IF(D358&lt;&gt;"",D358,IF(E358&lt;&gt;"",E358,"Uncategorized")))))</f>
        <v/>
      </c>
      <c r="G358" s="108"/>
      <c r="H358" s="184" t="str">
        <f aca="false">IF(A358="","",DATE(YEAR(A358),MONTH(A358),1))</f>
        <v/>
      </c>
      <c r="I358" s="185"/>
      <c r="J358" s="144"/>
      <c r="K358" s="159" t="str">
        <f aca="false">IF(C358="","",N(C358)/IF(N358&lt;&gt;"",N358,IF(J358="",1,IFERROR(INDEX(Setup!$C$23:$C$46,MATCH(J358,Setup!$A$23:$A$46,0)),1))))</f>
        <v/>
      </c>
      <c r="L358" s="144"/>
      <c r="M358" s="108"/>
      <c r="N358" s="111"/>
      <c r="O358" s="156" t="str">
        <f aca="false">IF(OR(B358="",L358="Transfer"),"",IF(COUNTIFS($B$5:$B$604,B358,$H$5:$H$604,EDATE(H358,-1),$C$5:$C$604,"&gt;="&amp;C358*0.85,$C$5:$C$604,"&lt;="&amp;C358*1.15)&gt;0,"recurring",""))</f>
        <v/>
      </c>
      <c r="P358" s="157" t="str">
        <f aca="false">IF(B358="","",IF(COUNTIF(B358:$B$604,B358)=1,1,""))</f>
        <v/>
      </c>
      <c r="Q358" s="157" t="str">
        <f aca="false">IF(AND(O358="recurring",P358=1),COUNTIFS($O$5:O358,"recurring",$P$5:P358,1),"")</f>
        <v/>
      </c>
    </row>
    <row r="359" customFormat="false" ht="15" hidden="false" customHeight="false" outlineLevel="0" collapsed="false">
      <c r="A359" s="110"/>
      <c r="B359" s="108"/>
      <c r="C359" s="142"/>
      <c r="D359" s="108"/>
      <c r="E359" s="183" t="str">
        <f aca="false" t="array" ref="E359:E359">IF(B359="","",IFERROR(INDEX(Keywords!$B$5:$B$165,MAX(ISNUMBER(SEARCH(Keywords!$A$5:$A$165,B359))*(Keywords!$A$5:$A$165&lt;&gt;"")*ROW(Keywords!$A$5:$A$165))-4),""))</f>
        <v/>
      </c>
      <c r="F359" s="150" t="str">
        <f aca="false">IF(B359="","",IF(L359="Transfer","Transfer",IF(L359="Income","Income",IF(D359&lt;&gt;"",D359,IF(E359&lt;&gt;"",E359,"Uncategorized")))))</f>
        <v/>
      </c>
      <c r="G359" s="108"/>
      <c r="H359" s="184" t="str">
        <f aca="false">IF(A359="","",DATE(YEAR(A359),MONTH(A359),1))</f>
        <v/>
      </c>
      <c r="I359" s="185"/>
      <c r="J359" s="144"/>
      <c r="K359" s="159" t="str">
        <f aca="false">IF(C359="","",N(C359)/IF(N359&lt;&gt;"",N359,IF(J359="",1,IFERROR(INDEX(Setup!$C$23:$C$46,MATCH(J359,Setup!$A$23:$A$46,0)),1))))</f>
        <v/>
      </c>
      <c r="L359" s="144"/>
      <c r="M359" s="108"/>
      <c r="N359" s="111"/>
      <c r="O359" s="156" t="str">
        <f aca="false">IF(OR(B359="",L359="Transfer"),"",IF(COUNTIFS($B$5:$B$604,B359,$H$5:$H$604,EDATE(H359,-1),$C$5:$C$604,"&gt;="&amp;C359*0.85,$C$5:$C$604,"&lt;="&amp;C359*1.15)&gt;0,"recurring",""))</f>
        <v/>
      </c>
      <c r="P359" s="157" t="str">
        <f aca="false">IF(B359="","",IF(COUNTIF(B359:$B$604,B359)=1,1,""))</f>
        <v/>
      </c>
      <c r="Q359" s="157" t="str">
        <f aca="false">IF(AND(O359="recurring",P359=1),COUNTIFS($O$5:O359,"recurring",$P$5:P359,1),"")</f>
        <v/>
      </c>
    </row>
    <row r="360" customFormat="false" ht="15" hidden="false" customHeight="false" outlineLevel="0" collapsed="false">
      <c r="A360" s="110"/>
      <c r="B360" s="108"/>
      <c r="C360" s="142"/>
      <c r="D360" s="108"/>
      <c r="E360" s="183" t="str">
        <f aca="false" t="array" ref="E360:E360">IF(B360="","",IFERROR(INDEX(Keywords!$B$5:$B$165,MAX(ISNUMBER(SEARCH(Keywords!$A$5:$A$165,B360))*(Keywords!$A$5:$A$165&lt;&gt;"")*ROW(Keywords!$A$5:$A$165))-4),""))</f>
        <v/>
      </c>
      <c r="F360" s="150" t="str">
        <f aca="false">IF(B360="","",IF(L360="Transfer","Transfer",IF(L360="Income","Income",IF(D360&lt;&gt;"",D360,IF(E360&lt;&gt;"",E360,"Uncategorized")))))</f>
        <v/>
      </c>
      <c r="G360" s="108"/>
      <c r="H360" s="184" t="str">
        <f aca="false">IF(A360="","",DATE(YEAR(A360),MONTH(A360),1))</f>
        <v/>
      </c>
      <c r="I360" s="185"/>
      <c r="J360" s="144"/>
      <c r="K360" s="159" t="str">
        <f aca="false">IF(C360="","",N(C360)/IF(N360&lt;&gt;"",N360,IF(J360="",1,IFERROR(INDEX(Setup!$C$23:$C$46,MATCH(J360,Setup!$A$23:$A$46,0)),1))))</f>
        <v/>
      </c>
      <c r="L360" s="144"/>
      <c r="M360" s="108"/>
      <c r="N360" s="111"/>
      <c r="O360" s="156" t="str">
        <f aca="false">IF(OR(B360="",L360="Transfer"),"",IF(COUNTIFS($B$5:$B$604,B360,$H$5:$H$604,EDATE(H360,-1),$C$5:$C$604,"&gt;="&amp;C360*0.85,$C$5:$C$604,"&lt;="&amp;C360*1.15)&gt;0,"recurring",""))</f>
        <v/>
      </c>
      <c r="P360" s="157" t="str">
        <f aca="false">IF(B360="","",IF(COUNTIF(B360:$B$604,B360)=1,1,""))</f>
        <v/>
      </c>
      <c r="Q360" s="157" t="str">
        <f aca="false">IF(AND(O360="recurring",P360=1),COUNTIFS($O$5:O360,"recurring",$P$5:P360,1),"")</f>
        <v/>
      </c>
    </row>
    <row r="361" customFormat="false" ht="15" hidden="false" customHeight="false" outlineLevel="0" collapsed="false">
      <c r="A361" s="110"/>
      <c r="B361" s="108"/>
      <c r="C361" s="142"/>
      <c r="D361" s="108"/>
      <c r="E361" s="183" t="str">
        <f aca="false" t="array" ref="E361:E361">IF(B361="","",IFERROR(INDEX(Keywords!$B$5:$B$165,MAX(ISNUMBER(SEARCH(Keywords!$A$5:$A$165,B361))*(Keywords!$A$5:$A$165&lt;&gt;"")*ROW(Keywords!$A$5:$A$165))-4),""))</f>
        <v/>
      </c>
      <c r="F361" s="150" t="str">
        <f aca="false">IF(B361="","",IF(L361="Transfer","Transfer",IF(L361="Income","Income",IF(D361&lt;&gt;"",D361,IF(E361&lt;&gt;"",E361,"Uncategorized")))))</f>
        <v/>
      </c>
      <c r="G361" s="108"/>
      <c r="H361" s="184" t="str">
        <f aca="false">IF(A361="","",DATE(YEAR(A361),MONTH(A361),1))</f>
        <v/>
      </c>
      <c r="I361" s="185"/>
      <c r="J361" s="144"/>
      <c r="K361" s="159" t="str">
        <f aca="false">IF(C361="","",N(C361)/IF(N361&lt;&gt;"",N361,IF(J361="",1,IFERROR(INDEX(Setup!$C$23:$C$46,MATCH(J361,Setup!$A$23:$A$46,0)),1))))</f>
        <v/>
      </c>
      <c r="L361" s="144"/>
      <c r="M361" s="108"/>
      <c r="N361" s="111"/>
      <c r="O361" s="156" t="str">
        <f aca="false">IF(OR(B361="",L361="Transfer"),"",IF(COUNTIFS($B$5:$B$604,B361,$H$5:$H$604,EDATE(H361,-1),$C$5:$C$604,"&gt;="&amp;C361*0.85,$C$5:$C$604,"&lt;="&amp;C361*1.15)&gt;0,"recurring",""))</f>
        <v/>
      </c>
      <c r="P361" s="157" t="str">
        <f aca="false">IF(B361="","",IF(COUNTIF(B361:$B$604,B361)=1,1,""))</f>
        <v/>
      </c>
      <c r="Q361" s="157" t="str">
        <f aca="false">IF(AND(O361="recurring",P361=1),COUNTIFS($O$5:O361,"recurring",$P$5:P361,1),"")</f>
        <v/>
      </c>
    </row>
    <row r="362" customFormat="false" ht="15" hidden="false" customHeight="false" outlineLevel="0" collapsed="false">
      <c r="A362" s="110"/>
      <c r="B362" s="108"/>
      <c r="C362" s="142"/>
      <c r="D362" s="108"/>
      <c r="E362" s="183" t="str">
        <f aca="false" t="array" ref="E362:E362">IF(B362="","",IFERROR(INDEX(Keywords!$B$5:$B$165,MAX(ISNUMBER(SEARCH(Keywords!$A$5:$A$165,B362))*(Keywords!$A$5:$A$165&lt;&gt;"")*ROW(Keywords!$A$5:$A$165))-4),""))</f>
        <v/>
      </c>
      <c r="F362" s="150" t="str">
        <f aca="false">IF(B362="","",IF(L362="Transfer","Transfer",IF(L362="Income","Income",IF(D362&lt;&gt;"",D362,IF(E362&lt;&gt;"",E362,"Uncategorized")))))</f>
        <v/>
      </c>
      <c r="G362" s="108"/>
      <c r="H362" s="184" t="str">
        <f aca="false">IF(A362="","",DATE(YEAR(A362),MONTH(A362),1))</f>
        <v/>
      </c>
      <c r="I362" s="185"/>
      <c r="J362" s="144"/>
      <c r="K362" s="159" t="str">
        <f aca="false">IF(C362="","",N(C362)/IF(N362&lt;&gt;"",N362,IF(J362="",1,IFERROR(INDEX(Setup!$C$23:$C$46,MATCH(J362,Setup!$A$23:$A$46,0)),1))))</f>
        <v/>
      </c>
      <c r="L362" s="144"/>
      <c r="M362" s="108"/>
      <c r="N362" s="111"/>
      <c r="O362" s="156" t="str">
        <f aca="false">IF(OR(B362="",L362="Transfer"),"",IF(COUNTIFS($B$5:$B$604,B362,$H$5:$H$604,EDATE(H362,-1),$C$5:$C$604,"&gt;="&amp;C362*0.85,$C$5:$C$604,"&lt;="&amp;C362*1.15)&gt;0,"recurring",""))</f>
        <v/>
      </c>
      <c r="P362" s="157" t="str">
        <f aca="false">IF(B362="","",IF(COUNTIF(B362:$B$604,B362)=1,1,""))</f>
        <v/>
      </c>
      <c r="Q362" s="157" t="str">
        <f aca="false">IF(AND(O362="recurring",P362=1),COUNTIFS($O$5:O362,"recurring",$P$5:P362,1),"")</f>
        <v/>
      </c>
    </row>
    <row r="363" customFormat="false" ht="15" hidden="false" customHeight="false" outlineLevel="0" collapsed="false">
      <c r="A363" s="110"/>
      <c r="B363" s="108"/>
      <c r="C363" s="142"/>
      <c r="D363" s="108"/>
      <c r="E363" s="183" t="str">
        <f aca="false" t="array" ref="E363:E363">IF(B363="","",IFERROR(INDEX(Keywords!$B$5:$B$165,MAX(ISNUMBER(SEARCH(Keywords!$A$5:$A$165,B363))*(Keywords!$A$5:$A$165&lt;&gt;"")*ROW(Keywords!$A$5:$A$165))-4),""))</f>
        <v/>
      </c>
      <c r="F363" s="150" t="str">
        <f aca="false">IF(B363="","",IF(L363="Transfer","Transfer",IF(L363="Income","Income",IF(D363&lt;&gt;"",D363,IF(E363&lt;&gt;"",E363,"Uncategorized")))))</f>
        <v/>
      </c>
      <c r="G363" s="108"/>
      <c r="H363" s="184" t="str">
        <f aca="false">IF(A363="","",DATE(YEAR(A363),MONTH(A363),1))</f>
        <v/>
      </c>
      <c r="I363" s="185"/>
      <c r="J363" s="144"/>
      <c r="K363" s="159" t="str">
        <f aca="false">IF(C363="","",N(C363)/IF(N363&lt;&gt;"",N363,IF(J363="",1,IFERROR(INDEX(Setup!$C$23:$C$46,MATCH(J363,Setup!$A$23:$A$46,0)),1))))</f>
        <v/>
      </c>
      <c r="L363" s="144"/>
      <c r="M363" s="108"/>
      <c r="N363" s="111"/>
      <c r="O363" s="156" t="str">
        <f aca="false">IF(OR(B363="",L363="Transfer"),"",IF(COUNTIFS($B$5:$B$604,B363,$H$5:$H$604,EDATE(H363,-1),$C$5:$C$604,"&gt;="&amp;C363*0.85,$C$5:$C$604,"&lt;="&amp;C363*1.15)&gt;0,"recurring",""))</f>
        <v/>
      </c>
      <c r="P363" s="157" t="str">
        <f aca="false">IF(B363="","",IF(COUNTIF(B363:$B$604,B363)=1,1,""))</f>
        <v/>
      </c>
      <c r="Q363" s="157" t="str">
        <f aca="false">IF(AND(O363="recurring",P363=1),COUNTIFS($O$5:O363,"recurring",$P$5:P363,1),"")</f>
        <v/>
      </c>
    </row>
    <row r="364" customFormat="false" ht="15" hidden="false" customHeight="false" outlineLevel="0" collapsed="false">
      <c r="A364" s="110"/>
      <c r="B364" s="108"/>
      <c r="C364" s="142"/>
      <c r="D364" s="108"/>
      <c r="E364" s="183" t="str">
        <f aca="false" t="array" ref="E364:E364">IF(B364="","",IFERROR(INDEX(Keywords!$B$5:$B$165,MAX(ISNUMBER(SEARCH(Keywords!$A$5:$A$165,B364))*(Keywords!$A$5:$A$165&lt;&gt;"")*ROW(Keywords!$A$5:$A$165))-4),""))</f>
        <v/>
      </c>
      <c r="F364" s="150" t="str">
        <f aca="false">IF(B364="","",IF(L364="Transfer","Transfer",IF(L364="Income","Income",IF(D364&lt;&gt;"",D364,IF(E364&lt;&gt;"",E364,"Uncategorized")))))</f>
        <v/>
      </c>
      <c r="G364" s="108"/>
      <c r="H364" s="184" t="str">
        <f aca="false">IF(A364="","",DATE(YEAR(A364),MONTH(A364),1))</f>
        <v/>
      </c>
      <c r="I364" s="185"/>
      <c r="J364" s="144"/>
      <c r="K364" s="159" t="str">
        <f aca="false">IF(C364="","",N(C364)/IF(N364&lt;&gt;"",N364,IF(J364="",1,IFERROR(INDEX(Setup!$C$23:$C$46,MATCH(J364,Setup!$A$23:$A$46,0)),1))))</f>
        <v/>
      </c>
      <c r="L364" s="144"/>
      <c r="M364" s="108"/>
      <c r="N364" s="111"/>
      <c r="O364" s="156" t="str">
        <f aca="false">IF(OR(B364="",L364="Transfer"),"",IF(COUNTIFS($B$5:$B$604,B364,$H$5:$H$604,EDATE(H364,-1),$C$5:$C$604,"&gt;="&amp;C364*0.85,$C$5:$C$604,"&lt;="&amp;C364*1.15)&gt;0,"recurring",""))</f>
        <v/>
      </c>
      <c r="P364" s="157" t="str">
        <f aca="false">IF(B364="","",IF(COUNTIF(B364:$B$604,B364)=1,1,""))</f>
        <v/>
      </c>
      <c r="Q364" s="157" t="str">
        <f aca="false">IF(AND(O364="recurring",P364=1),COUNTIFS($O$5:O364,"recurring",$P$5:P364,1),"")</f>
        <v/>
      </c>
    </row>
    <row r="365" customFormat="false" ht="15" hidden="false" customHeight="false" outlineLevel="0" collapsed="false">
      <c r="A365" s="110"/>
      <c r="B365" s="108"/>
      <c r="C365" s="142"/>
      <c r="D365" s="108"/>
      <c r="E365" s="183" t="str">
        <f aca="false" t="array" ref="E365:E365">IF(B365="","",IFERROR(INDEX(Keywords!$B$5:$B$165,MAX(ISNUMBER(SEARCH(Keywords!$A$5:$A$165,B365))*(Keywords!$A$5:$A$165&lt;&gt;"")*ROW(Keywords!$A$5:$A$165))-4),""))</f>
        <v/>
      </c>
      <c r="F365" s="150" t="str">
        <f aca="false">IF(B365="","",IF(L365="Transfer","Transfer",IF(L365="Income","Income",IF(D365&lt;&gt;"",D365,IF(E365&lt;&gt;"",E365,"Uncategorized")))))</f>
        <v/>
      </c>
      <c r="G365" s="108"/>
      <c r="H365" s="184" t="str">
        <f aca="false">IF(A365="","",DATE(YEAR(A365),MONTH(A365),1))</f>
        <v/>
      </c>
      <c r="I365" s="185"/>
      <c r="J365" s="144"/>
      <c r="K365" s="159" t="str">
        <f aca="false">IF(C365="","",N(C365)/IF(N365&lt;&gt;"",N365,IF(J365="",1,IFERROR(INDEX(Setup!$C$23:$C$46,MATCH(J365,Setup!$A$23:$A$46,0)),1))))</f>
        <v/>
      </c>
      <c r="L365" s="144"/>
      <c r="M365" s="108"/>
      <c r="N365" s="111"/>
      <c r="O365" s="156" t="str">
        <f aca="false">IF(OR(B365="",L365="Transfer"),"",IF(COUNTIFS($B$5:$B$604,B365,$H$5:$H$604,EDATE(H365,-1),$C$5:$C$604,"&gt;="&amp;C365*0.85,$C$5:$C$604,"&lt;="&amp;C365*1.15)&gt;0,"recurring",""))</f>
        <v/>
      </c>
      <c r="P365" s="157" t="str">
        <f aca="false">IF(B365="","",IF(COUNTIF(B365:$B$604,B365)=1,1,""))</f>
        <v/>
      </c>
      <c r="Q365" s="157" t="str">
        <f aca="false">IF(AND(O365="recurring",P365=1),COUNTIFS($O$5:O365,"recurring",$P$5:P365,1),"")</f>
        <v/>
      </c>
    </row>
    <row r="366" customFormat="false" ht="15" hidden="false" customHeight="false" outlineLevel="0" collapsed="false">
      <c r="A366" s="110"/>
      <c r="B366" s="108"/>
      <c r="C366" s="142"/>
      <c r="D366" s="108"/>
      <c r="E366" s="183" t="str">
        <f aca="false" t="array" ref="E366:E366">IF(B366="","",IFERROR(INDEX(Keywords!$B$5:$B$165,MAX(ISNUMBER(SEARCH(Keywords!$A$5:$A$165,B366))*(Keywords!$A$5:$A$165&lt;&gt;"")*ROW(Keywords!$A$5:$A$165))-4),""))</f>
        <v/>
      </c>
      <c r="F366" s="150" t="str">
        <f aca="false">IF(B366="","",IF(L366="Transfer","Transfer",IF(L366="Income","Income",IF(D366&lt;&gt;"",D366,IF(E366&lt;&gt;"",E366,"Uncategorized")))))</f>
        <v/>
      </c>
      <c r="G366" s="108"/>
      <c r="H366" s="184" t="str">
        <f aca="false">IF(A366="","",DATE(YEAR(A366),MONTH(A366),1))</f>
        <v/>
      </c>
      <c r="I366" s="185"/>
      <c r="J366" s="144"/>
      <c r="K366" s="159" t="str">
        <f aca="false">IF(C366="","",N(C366)/IF(N366&lt;&gt;"",N366,IF(J366="",1,IFERROR(INDEX(Setup!$C$23:$C$46,MATCH(J366,Setup!$A$23:$A$46,0)),1))))</f>
        <v/>
      </c>
      <c r="L366" s="144"/>
      <c r="M366" s="108"/>
      <c r="N366" s="111"/>
      <c r="O366" s="156" t="str">
        <f aca="false">IF(OR(B366="",L366="Transfer"),"",IF(COUNTIFS($B$5:$B$604,B366,$H$5:$H$604,EDATE(H366,-1),$C$5:$C$604,"&gt;="&amp;C366*0.85,$C$5:$C$604,"&lt;="&amp;C366*1.15)&gt;0,"recurring",""))</f>
        <v/>
      </c>
      <c r="P366" s="157" t="str">
        <f aca="false">IF(B366="","",IF(COUNTIF(B366:$B$604,B366)=1,1,""))</f>
        <v/>
      </c>
      <c r="Q366" s="157" t="str">
        <f aca="false">IF(AND(O366="recurring",P366=1),COUNTIFS($O$5:O366,"recurring",$P$5:P366,1),"")</f>
        <v/>
      </c>
    </row>
    <row r="367" customFormat="false" ht="15" hidden="false" customHeight="false" outlineLevel="0" collapsed="false">
      <c r="A367" s="110"/>
      <c r="B367" s="108"/>
      <c r="C367" s="142"/>
      <c r="D367" s="108"/>
      <c r="E367" s="183" t="str">
        <f aca="false" t="array" ref="E367:E367">IF(B367="","",IFERROR(INDEX(Keywords!$B$5:$B$165,MAX(ISNUMBER(SEARCH(Keywords!$A$5:$A$165,B367))*(Keywords!$A$5:$A$165&lt;&gt;"")*ROW(Keywords!$A$5:$A$165))-4),""))</f>
        <v/>
      </c>
      <c r="F367" s="150" t="str">
        <f aca="false">IF(B367="","",IF(L367="Transfer","Transfer",IF(L367="Income","Income",IF(D367&lt;&gt;"",D367,IF(E367&lt;&gt;"",E367,"Uncategorized")))))</f>
        <v/>
      </c>
      <c r="G367" s="108"/>
      <c r="H367" s="184" t="str">
        <f aca="false">IF(A367="","",DATE(YEAR(A367),MONTH(A367),1))</f>
        <v/>
      </c>
      <c r="I367" s="185"/>
      <c r="J367" s="144"/>
      <c r="K367" s="159" t="str">
        <f aca="false">IF(C367="","",N(C367)/IF(N367&lt;&gt;"",N367,IF(J367="",1,IFERROR(INDEX(Setup!$C$23:$C$46,MATCH(J367,Setup!$A$23:$A$46,0)),1))))</f>
        <v/>
      </c>
      <c r="L367" s="144"/>
      <c r="M367" s="108"/>
      <c r="N367" s="111"/>
      <c r="O367" s="156" t="str">
        <f aca="false">IF(OR(B367="",L367="Transfer"),"",IF(COUNTIFS($B$5:$B$604,B367,$H$5:$H$604,EDATE(H367,-1),$C$5:$C$604,"&gt;="&amp;C367*0.85,$C$5:$C$604,"&lt;="&amp;C367*1.15)&gt;0,"recurring",""))</f>
        <v/>
      </c>
      <c r="P367" s="157" t="str">
        <f aca="false">IF(B367="","",IF(COUNTIF(B367:$B$604,B367)=1,1,""))</f>
        <v/>
      </c>
      <c r="Q367" s="157" t="str">
        <f aca="false">IF(AND(O367="recurring",P367=1),COUNTIFS($O$5:O367,"recurring",$P$5:P367,1),"")</f>
        <v/>
      </c>
    </row>
    <row r="368" customFormat="false" ht="15" hidden="false" customHeight="false" outlineLevel="0" collapsed="false">
      <c r="A368" s="110"/>
      <c r="B368" s="108"/>
      <c r="C368" s="142"/>
      <c r="D368" s="108"/>
      <c r="E368" s="183" t="str">
        <f aca="false" t="array" ref="E368:E368">IF(B368="","",IFERROR(INDEX(Keywords!$B$5:$B$165,MAX(ISNUMBER(SEARCH(Keywords!$A$5:$A$165,B368))*(Keywords!$A$5:$A$165&lt;&gt;"")*ROW(Keywords!$A$5:$A$165))-4),""))</f>
        <v/>
      </c>
      <c r="F368" s="150" t="str">
        <f aca="false">IF(B368="","",IF(L368="Transfer","Transfer",IF(L368="Income","Income",IF(D368&lt;&gt;"",D368,IF(E368&lt;&gt;"",E368,"Uncategorized")))))</f>
        <v/>
      </c>
      <c r="G368" s="108"/>
      <c r="H368" s="184" t="str">
        <f aca="false">IF(A368="","",DATE(YEAR(A368),MONTH(A368),1))</f>
        <v/>
      </c>
      <c r="I368" s="185"/>
      <c r="J368" s="144"/>
      <c r="K368" s="159" t="str">
        <f aca="false">IF(C368="","",N(C368)/IF(N368&lt;&gt;"",N368,IF(J368="",1,IFERROR(INDEX(Setup!$C$23:$C$46,MATCH(J368,Setup!$A$23:$A$46,0)),1))))</f>
        <v/>
      </c>
      <c r="L368" s="144"/>
      <c r="M368" s="108"/>
      <c r="N368" s="111"/>
      <c r="O368" s="156" t="str">
        <f aca="false">IF(OR(B368="",L368="Transfer"),"",IF(COUNTIFS($B$5:$B$604,B368,$H$5:$H$604,EDATE(H368,-1),$C$5:$C$604,"&gt;="&amp;C368*0.85,$C$5:$C$604,"&lt;="&amp;C368*1.15)&gt;0,"recurring",""))</f>
        <v/>
      </c>
      <c r="P368" s="157" t="str">
        <f aca="false">IF(B368="","",IF(COUNTIF(B368:$B$604,B368)=1,1,""))</f>
        <v/>
      </c>
      <c r="Q368" s="157" t="str">
        <f aca="false">IF(AND(O368="recurring",P368=1),COUNTIFS($O$5:O368,"recurring",$P$5:P368,1),"")</f>
        <v/>
      </c>
    </row>
    <row r="369" customFormat="false" ht="15" hidden="false" customHeight="false" outlineLevel="0" collapsed="false">
      <c r="A369" s="110"/>
      <c r="B369" s="108"/>
      <c r="C369" s="142"/>
      <c r="D369" s="108"/>
      <c r="E369" s="183" t="str">
        <f aca="false" t="array" ref="E369:E369">IF(B369="","",IFERROR(INDEX(Keywords!$B$5:$B$165,MAX(ISNUMBER(SEARCH(Keywords!$A$5:$A$165,B369))*(Keywords!$A$5:$A$165&lt;&gt;"")*ROW(Keywords!$A$5:$A$165))-4),""))</f>
        <v/>
      </c>
      <c r="F369" s="150" t="str">
        <f aca="false">IF(B369="","",IF(L369="Transfer","Transfer",IF(L369="Income","Income",IF(D369&lt;&gt;"",D369,IF(E369&lt;&gt;"",E369,"Uncategorized")))))</f>
        <v/>
      </c>
      <c r="G369" s="108"/>
      <c r="H369" s="184" t="str">
        <f aca="false">IF(A369="","",DATE(YEAR(A369),MONTH(A369),1))</f>
        <v/>
      </c>
      <c r="I369" s="185"/>
      <c r="J369" s="144"/>
      <c r="K369" s="159" t="str">
        <f aca="false">IF(C369="","",N(C369)/IF(N369&lt;&gt;"",N369,IF(J369="",1,IFERROR(INDEX(Setup!$C$23:$C$46,MATCH(J369,Setup!$A$23:$A$46,0)),1))))</f>
        <v/>
      </c>
      <c r="L369" s="144"/>
      <c r="M369" s="108"/>
      <c r="N369" s="111"/>
      <c r="O369" s="156" t="str">
        <f aca="false">IF(OR(B369="",L369="Transfer"),"",IF(COUNTIFS($B$5:$B$604,B369,$H$5:$H$604,EDATE(H369,-1),$C$5:$C$604,"&gt;="&amp;C369*0.85,$C$5:$C$604,"&lt;="&amp;C369*1.15)&gt;0,"recurring",""))</f>
        <v/>
      </c>
      <c r="P369" s="157" t="str">
        <f aca="false">IF(B369="","",IF(COUNTIF(B369:$B$604,B369)=1,1,""))</f>
        <v/>
      </c>
      <c r="Q369" s="157" t="str">
        <f aca="false">IF(AND(O369="recurring",P369=1),COUNTIFS($O$5:O369,"recurring",$P$5:P369,1),"")</f>
        <v/>
      </c>
    </row>
    <row r="370" customFormat="false" ht="15" hidden="false" customHeight="false" outlineLevel="0" collapsed="false">
      <c r="A370" s="110"/>
      <c r="B370" s="108"/>
      <c r="C370" s="142"/>
      <c r="D370" s="108"/>
      <c r="E370" s="183" t="str">
        <f aca="false" t="array" ref="E370:E370">IF(B370="","",IFERROR(INDEX(Keywords!$B$5:$B$165,MAX(ISNUMBER(SEARCH(Keywords!$A$5:$A$165,B370))*(Keywords!$A$5:$A$165&lt;&gt;"")*ROW(Keywords!$A$5:$A$165))-4),""))</f>
        <v/>
      </c>
      <c r="F370" s="150" t="str">
        <f aca="false">IF(B370="","",IF(L370="Transfer","Transfer",IF(L370="Income","Income",IF(D370&lt;&gt;"",D370,IF(E370&lt;&gt;"",E370,"Uncategorized")))))</f>
        <v/>
      </c>
      <c r="G370" s="108"/>
      <c r="H370" s="184" t="str">
        <f aca="false">IF(A370="","",DATE(YEAR(A370),MONTH(A370),1))</f>
        <v/>
      </c>
      <c r="I370" s="185"/>
      <c r="J370" s="144"/>
      <c r="K370" s="159" t="str">
        <f aca="false">IF(C370="","",N(C370)/IF(N370&lt;&gt;"",N370,IF(J370="",1,IFERROR(INDEX(Setup!$C$23:$C$46,MATCH(J370,Setup!$A$23:$A$46,0)),1))))</f>
        <v/>
      </c>
      <c r="L370" s="144"/>
      <c r="M370" s="108"/>
      <c r="N370" s="111"/>
      <c r="O370" s="156" t="str">
        <f aca="false">IF(OR(B370="",L370="Transfer"),"",IF(COUNTIFS($B$5:$B$604,B370,$H$5:$H$604,EDATE(H370,-1),$C$5:$C$604,"&gt;="&amp;C370*0.85,$C$5:$C$604,"&lt;="&amp;C370*1.15)&gt;0,"recurring",""))</f>
        <v/>
      </c>
      <c r="P370" s="157" t="str">
        <f aca="false">IF(B370="","",IF(COUNTIF(B370:$B$604,B370)=1,1,""))</f>
        <v/>
      </c>
      <c r="Q370" s="157" t="str">
        <f aca="false">IF(AND(O370="recurring",P370=1),COUNTIFS($O$5:O370,"recurring",$P$5:P370,1),"")</f>
        <v/>
      </c>
    </row>
    <row r="371" customFormat="false" ht="15" hidden="false" customHeight="false" outlineLevel="0" collapsed="false">
      <c r="A371" s="110"/>
      <c r="B371" s="108"/>
      <c r="C371" s="142"/>
      <c r="D371" s="108"/>
      <c r="E371" s="183" t="str">
        <f aca="false" t="array" ref="E371:E371">IF(B371="","",IFERROR(INDEX(Keywords!$B$5:$B$165,MAX(ISNUMBER(SEARCH(Keywords!$A$5:$A$165,B371))*(Keywords!$A$5:$A$165&lt;&gt;"")*ROW(Keywords!$A$5:$A$165))-4),""))</f>
        <v/>
      </c>
      <c r="F371" s="150" t="str">
        <f aca="false">IF(B371="","",IF(L371="Transfer","Transfer",IF(L371="Income","Income",IF(D371&lt;&gt;"",D371,IF(E371&lt;&gt;"",E371,"Uncategorized")))))</f>
        <v/>
      </c>
      <c r="G371" s="108"/>
      <c r="H371" s="184" t="str">
        <f aca="false">IF(A371="","",DATE(YEAR(A371),MONTH(A371),1))</f>
        <v/>
      </c>
      <c r="I371" s="185"/>
      <c r="J371" s="144"/>
      <c r="K371" s="159" t="str">
        <f aca="false">IF(C371="","",N(C371)/IF(N371&lt;&gt;"",N371,IF(J371="",1,IFERROR(INDEX(Setup!$C$23:$C$46,MATCH(J371,Setup!$A$23:$A$46,0)),1))))</f>
        <v/>
      </c>
      <c r="L371" s="144"/>
      <c r="M371" s="108"/>
      <c r="N371" s="111"/>
      <c r="O371" s="156" t="str">
        <f aca="false">IF(OR(B371="",L371="Transfer"),"",IF(COUNTIFS($B$5:$B$604,B371,$H$5:$H$604,EDATE(H371,-1),$C$5:$C$604,"&gt;="&amp;C371*0.85,$C$5:$C$604,"&lt;="&amp;C371*1.15)&gt;0,"recurring",""))</f>
        <v/>
      </c>
      <c r="P371" s="157" t="str">
        <f aca="false">IF(B371="","",IF(COUNTIF(B371:$B$604,B371)=1,1,""))</f>
        <v/>
      </c>
      <c r="Q371" s="157" t="str">
        <f aca="false">IF(AND(O371="recurring",P371=1),COUNTIFS($O$5:O371,"recurring",$P$5:P371,1),"")</f>
        <v/>
      </c>
    </row>
    <row r="372" customFormat="false" ht="15" hidden="false" customHeight="false" outlineLevel="0" collapsed="false">
      <c r="A372" s="110"/>
      <c r="B372" s="108"/>
      <c r="C372" s="142"/>
      <c r="D372" s="108"/>
      <c r="E372" s="183" t="str">
        <f aca="false" t="array" ref="E372:E372">IF(B372="","",IFERROR(INDEX(Keywords!$B$5:$B$165,MAX(ISNUMBER(SEARCH(Keywords!$A$5:$A$165,B372))*(Keywords!$A$5:$A$165&lt;&gt;"")*ROW(Keywords!$A$5:$A$165))-4),""))</f>
        <v/>
      </c>
      <c r="F372" s="150" t="str">
        <f aca="false">IF(B372="","",IF(L372="Transfer","Transfer",IF(L372="Income","Income",IF(D372&lt;&gt;"",D372,IF(E372&lt;&gt;"",E372,"Uncategorized")))))</f>
        <v/>
      </c>
      <c r="G372" s="108"/>
      <c r="H372" s="184" t="str">
        <f aca="false">IF(A372="","",DATE(YEAR(A372),MONTH(A372),1))</f>
        <v/>
      </c>
      <c r="I372" s="185"/>
      <c r="J372" s="144"/>
      <c r="K372" s="159" t="str">
        <f aca="false">IF(C372="","",N(C372)/IF(N372&lt;&gt;"",N372,IF(J372="",1,IFERROR(INDEX(Setup!$C$23:$C$46,MATCH(J372,Setup!$A$23:$A$46,0)),1))))</f>
        <v/>
      </c>
      <c r="L372" s="144"/>
      <c r="M372" s="108"/>
      <c r="N372" s="111"/>
      <c r="O372" s="156" t="str">
        <f aca="false">IF(OR(B372="",L372="Transfer"),"",IF(COUNTIFS($B$5:$B$604,B372,$H$5:$H$604,EDATE(H372,-1),$C$5:$C$604,"&gt;="&amp;C372*0.85,$C$5:$C$604,"&lt;="&amp;C372*1.15)&gt;0,"recurring",""))</f>
        <v/>
      </c>
      <c r="P372" s="157" t="str">
        <f aca="false">IF(B372="","",IF(COUNTIF(B372:$B$604,B372)=1,1,""))</f>
        <v/>
      </c>
      <c r="Q372" s="157" t="str">
        <f aca="false">IF(AND(O372="recurring",P372=1),COUNTIFS($O$5:O372,"recurring",$P$5:P372,1),"")</f>
        <v/>
      </c>
    </row>
    <row r="373" customFormat="false" ht="15" hidden="false" customHeight="false" outlineLevel="0" collapsed="false">
      <c r="A373" s="110"/>
      <c r="B373" s="108"/>
      <c r="C373" s="142"/>
      <c r="D373" s="108"/>
      <c r="E373" s="183" t="str">
        <f aca="false" t="array" ref="E373:E373">IF(B373="","",IFERROR(INDEX(Keywords!$B$5:$B$165,MAX(ISNUMBER(SEARCH(Keywords!$A$5:$A$165,B373))*(Keywords!$A$5:$A$165&lt;&gt;"")*ROW(Keywords!$A$5:$A$165))-4),""))</f>
        <v/>
      </c>
      <c r="F373" s="150" t="str">
        <f aca="false">IF(B373="","",IF(L373="Transfer","Transfer",IF(L373="Income","Income",IF(D373&lt;&gt;"",D373,IF(E373&lt;&gt;"",E373,"Uncategorized")))))</f>
        <v/>
      </c>
      <c r="G373" s="108"/>
      <c r="H373" s="184" t="str">
        <f aca="false">IF(A373="","",DATE(YEAR(A373),MONTH(A373),1))</f>
        <v/>
      </c>
      <c r="I373" s="185"/>
      <c r="J373" s="144"/>
      <c r="K373" s="159" t="str">
        <f aca="false">IF(C373="","",N(C373)/IF(N373&lt;&gt;"",N373,IF(J373="",1,IFERROR(INDEX(Setup!$C$23:$C$46,MATCH(J373,Setup!$A$23:$A$46,0)),1))))</f>
        <v/>
      </c>
      <c r="L373" s="144"/>
      <c r="M373" s="108"/>
      <c r="N373" s="111"/>
      <c r="O373" s="156" t="str">
        <f aca="false">IF(OR(B373="",L373="Transfer"),"",IF(COUNTIFS($B$5:$B$604,B373,$H$5:$H$604,EDATE(H373,-1),$C$5:$C$604,"&gt;="&amp;C373*0.85,$C$5:$C$604,"&lt;="&amp;C373*1.15)&gt;0,"recurring",""))</f>
        <v/>
      </c>
      <c r="P373" s="157" t="str">
        <f aca="false">IF(B373="","",IF(COUNTIF(B373:$B$604,B373)=1,1,""))</f>
        <v/>
      </c>
      <c r="Q373" s="157" t="str">
        <f aca="false">IF(AND(O373="recurring",P373=1),COUNTIFS($O$5:O373,"recurring",$P$5:P373,1),"")</f>
        <v/>
      </c>
    </row>
    <row r="374" customFormat="false" ht="15" hidden="false" customHeight="false" outlineLevel="0" collapsed="false">
      <c r="A374" s="110"/>
      <c r="B374" s="108"/>
      <c r="C374" s="142"/>
      <c r="D374" s="108"/>
      <c r="E374" s="183" t="str">
        <f aca="false" t="array" ref="E374:E374">IF(B374="","",IFERROR(INDEX(Keywords!$B$5:$B$165,MAX(ISNUMBER(SEARCH(Keywords!$A$5:$A$165,B374))*(Keywords!$A$5:$A$165&lt;&gt;"")*ROW(Keywords!$A$5:$A$165))-4),""))</f>
        <v/>
      </c>
      <c r="F374" s="150" t="str">
        <f aca="false">IF(B374="","",IF(L374="Transfer","Transfer",IF(L374="Income","Income",IF(D374&lt;&gt;"",D374,IF(E374&lt;&gt;"",E374,"Uncategorized")))))</f>
        <v/>
      </c>
      <c r="G374" s="108"/>
      <c r="H374" s="184" t="str">
        <f aca="false">IF(A374="","",DATE(YEAR(A374),MONTH(A374),1))</f>
        <v/>
      </c>
      <c r="I374" s="185"/>
      <c r="J374" s="144"/>
      <c r="K374" s="159" t="str">
        <f aca="false">IF(C374="","",N(C374)/IF(N374&lt;&gt;"",N374,IF(J374="",1,IFERROR(INDEX(Setup!$C$23:$C$46,MATCH(J374,Setup!$A$23:$A$46,0)),1))))</f>
        <v/>
      </c>
      <c r="L374" s="144"/>
      <c r="M374" s="108"/>
      <c r="N374" s="111"/>
      <c r="O374" s="156" t="str">
        <f aca="false">IF(OR(B374="",L374="Transfer"),"",IF(COUNTIFS($B$5:$B$604,B374,$H$5:$H$604,EDATE(H374,-1),$C$5:$C$604,"&gt;="&amp;C374*0.85,$C$5:$C$604,"&lt;="&amp;C374*1.15)&gt;0,"recurring",""))</f>
        <v/>
      </c>
      <c r="P374" s="157" t="str">
        <f aca="false">IF(B374="","",IF(COUNTIF(B374:$B$604,B374)=1,1,""))</f>
        <v/>
      </c>
      <c r="Q374" s="157" t="str">
        <f aca="false">IF(AND(O374="recurring",P374=1),COUNTIFS($O$5:O374,"recurring",$P$5:P374,1),"")</f>
        <v/>
      </c>
    </row>
    <row r="375" customFormat="false" ht="15" hidden="false" customHeight="false" outlineLevel="0" collapsed="false">
      <c r="A375" s="110"/>
      <c r="B375" s="108"/>
      <c r="C375" s="142"/>
      <c r="D375" s="108"/>
      <c r="E375" s="183" t="str">
        <f aca="false" t="array" ref="E375:E375">IF(B375="","",IFERROR(INDEX(Keywords!$B$5:$B$165,MAX(ISNUMBER(SEARCH(Keywords!$A$5:$A$165,B375))*(Keywords!$A$5:$A$165&lt;&gt;"")*ROW(Keywords!$A$5:$A$165))-4),""))</f>
        <v/>
      </c>
      <c r="F375" s="150" t="str">
        <f aca="false">IF(B375="","",IF(L375="Transfer","Transfer",IF(L375="Income","Income",IF(D375&lt;&gt;"",D375,IF(E375&lt;&gt;"",E375,"Uncategorized")))))</f>
        <v/>
      </c>
      <c r="G375" s="108"/>
      <c r="H375" s="184" t="str">
        <f aca="false">IF(A375="","",DATE(YEAR(A375),MONTH(A375),1))</f>
        <v/>
      </c>
      <c r="I375" s="185"/>
      <c r="J375" s="144"/>
      <c r="K375" s="159" t="str">
        <f aca="false">IF(C375="","",N(C375)/IF(N375&lt;&gt;"",N375,IF(J375="",1,IFERROR(INDEX(Setup!$C$23:$C$46,MATCH(J375,Setup!$A$23:$A$46,0)),1))))</f>
        <v/>
      </c>
      <c r="L375" s="144"/>
      <c r="M375" s="108"/>
      <c r="N375" s="111"/>
      <c r="O375" s="156" t="str">
        <f aca="false">IF(OR(B375="",L375="Transfer"),"",IF(COUNTIFS($B$5:$B$604,B375,$H$5:$H$604,EDATE(H375,-1),$C$5:$C$604,"&gt;="&amp;C375*0.85,$C$5:$C$604,"&lt;="&amp;C375*1.15)&gt;0,"recurring",""))</f>
        <v/>
      </c>
      <c r="P375" s="157" t="str">
        <f aca="false">IF(B375="","",IF(COUNTIF(B375:$B$604,B375)=1,1,""))</f>
        <v/>
      </c>
      <c r="Q375" s="157" t="str">
        <f aca="false">IF(AND(O375="recurring",P375=1),COUNTIFS($O$5:O375,"recurring",$P$5:P375,1),"")</f>
        <v/>
      </c>
    </row>
    <row r="376" customFormat="false" ht="15" hidden="false" customHeight="false" outlineLevel="0" collapsed="false">
      <c r="A376" s="110"/>
      <c r="B376" s="108"/>
      <c r="C376" s="142"/>
      <c r="D376" s="108"/>
      <c r="E376" s="183" t="str">
        <f aca="false" t="array" ref="E376:E376">IF(B376="","",IFERROR(INDEX(Keywords!$B$5:$B$165,MAX(ISNUMBER(SEARCH(Keywords!$A$5:$A$165,B376))*(Keywords!$A$5:$A$165&lt;&gt;"")*ROW(Keywords!$A$5:$A$165))-4),""))</f>
        <v/>
      </c>
      <c r="F376" s="150" t="str">
        <f aca="false">IF(B376="","",IF(L376="Transfer","Transfer",IF(L376="Income","Income",IF(D376&lt;&gt;"",D376,IF(E376&lt;&gt;"",E376,"Uncategorized")))))</f>
        <v/>
      </c>
      <c r="G376" s="108"/>
      <c r="H376" s="184" t="str">
        <f aca="false">IF(A376="","",DATE(YEAR(A376),MONTH(A376),1))</f>
        <v/>
      </c>
      <c r="I376" s="185"/>
      <c r="J376" s="144"/>
      <c r="K376" s="159" t="str">
        <f aca="false">IF(C376="","",N(C376)/IF(N376&lt;&gt;"",N376,IF(J376="",1,IFERROR(INDEX(Setup!$C$23:$C$46,MATCH(J376,Setup!$A$23:$A$46,0)),1))))</f>
        <v/>
      </c>
      <c r="L376" s="144"/>
      <c r="M376" s="108"/>
      <c r="N376" s="111"/>
      <c r="O376" s="156" t="str">
        <f aca="false">IF(OR(B376="",L376="Transfer"),"",IF(COUNTIFS($B$5:$B$604,B376,$H$5:$H$604,EDATE(H376,-1),$C$5:$C$604,"&gt;="&amp;C376*0.85,$C$5:$C$604,"&lt;="&amp;C376*1.15)&gt;0,"recurring",""))</f>
        <v/>
      </c>
      <c r="P376" s="157" t="str">
        <f aca="false">IF(B376="","",IF(COUNTIF(B376:$B$604,B376)=1,1,""))</f>
        <v/>
      </c>
      <c r="Q376" s="157" t="str">
        <f aca="false">IF(AND(O376="recurring",P376=1),COUNTIFS($O$5:O376,"recurring",$P$5:P376,1),"")</f>
        <v/>
      </c>
    </row>
    <row r="377" customFormat="false" ht="15" hidden="false" customHeight="false" outlineLevel="0" collapsed="false">
      <c r="A377" s="110"/>
      <c r="B377" s="108"/>
      <c r="C377" s="142"/>
      <c r="D377" s="108"/>
      <c r="E377" s="183" t="str">
        <f aca="false" t="array" ref="E377:E377">IF(B377="","",IFERROR(INDEX(Keywords!$B$5:$B$165,MAX(ISNUMBER(SEARCH(Keywords!$A$5:$A$165,B377))*(Keywords!$A$5:$A$165&lt;&gt;"")*ROW(Keywords!$A$5:$A$165))-4),""))</f>
        <v/>
      </c>
      <c r="F377" s="150" t="str">
        <f aca="false">IF(B377="","",IF(L377="Transfer","Transfer",IF(L377="Income","Income",IF(D377&lt;&gt;"",D377,IF(E377&lt;&gt;"",E377,"Uncategorized")))))</f>
        <v/>
      </c>
      <c r="G377" s="108"/>
      <c r="H377" s="184" t="str">
        <f aca="false">IF(A377="","",DATE(YEAR(A377),MONTH(A377),1))</f>
        <v/>
      </c>
      <c r="I377" s="185"/>
      <c r="J377" s="144"/>
      <c r="K377" s="159" t="str">
        <f aca="false">IF(C377="","",N(C377)/IF(N377&lt;&gt;"",N377,IF(J377="",1,IFERROR(INDEX(Setup!$C$23:$C$46,MATCH(J377,Setup!$A$23:$A$46,0)),1))))</f>
        <v/>
      </c>
      <c r="L377" s="144"/>
      <c r="M377" s="108"/>
      <c r="N377" s="111"/>
      <c r="O377" s="156" t="str">
        <f aca="false">IF(OR(B377="",L377="Transfer"),"",IF(COUNTIFS($B$5:$B$604,B377,$H$5:$H$604,EDATE(H377,-1),$C$5:$C$604,"&gt;="&amp;C377*0.85,$C$5:$C$604,"&lt;="&amp;C377*1.15)&gt;0,"recurring",""))</f>
        <v/>
      </c>
      <c r="P377" s="157" t="str">
        <f aca="false">IF(B377="","",IF(COUNTIF(B377:$B$604,B377)=1,1,""))</f>
        <v/>
      </c>
      <c r="Q377" s="157" t="str">
        <f aca="false">IF(AND(O377="recurring",P377=1),COUNTIFS($O$5:O377,"recurring",$P$5:P377,1),"")</f>
        <v/>
      </c>
    </row>
    <row r="378" customFormat="false" ht="15" hidden="false" customHeight="false" outlineLevel="0" collapsed="false">
      <c r="A378" s="110"/>
      <c r="B378" s="108"/>
      <c r="C378" s="142"/>
      <c r="D378" s="108"/>
      <c r="E378" s="183" t="str">
        <f aca="false" t="array" ref="E378:E378">IF(B378="","",IFERROR(INDEX(Keywords!$B$5:$B$165,MAX(ISNUMBER(SEARCH(Keywords!$A$5:$A$165,B378))*(Keywords!$A$5:$A$165&lt;&gt;"")*ROW(Keywords!$A$5:$A$165))-4),""))</f>
        <v/>
      </c>
      <c r="F378" s="150" t="str">
        <f aca="false">IF(B378="","",IF(L378="Transfer","Transfer",IF(L378="Income","Income",IF(D378&lt;&gt;"",D378,IF(E378&lt;&gt;"",E378,"Uncategorized")))))</f>
        <v/>
      </c>
      <c r="G378" s="108"/>
      <c r="H378" s="184" t="str">
        <f aca="false">IF(A378="","",DATE(YEAR(A378),MONTH(A378),1))</f>
        <v/>
      </c>
      <c r="I378" s="185"/>
      <c r="J378" s="144"/>
      <c r="K378" s="159" t="str">
        <f aca="false">IF(C378="","",N(C378)/IF(N378&lt;&gt;"",N378,IF(J378="",1,IFERROR(INDEX(Setup!$C$23:$C$46,MATCH(J378,Setup!$A$23:$A$46,0)),1))))</f>
        <v/>
      </c>
      <c r="L378" s="144"/>
      <c r="M378" s="108"/>
      <c r="N378" s="111"/>
      <c r="O378" s="156" t="str">
        <f aca="false">IF(OR(B378="",L378="Transfer"),"",IF(COUNTIFS($B$5:$B$604,B378,$H$5:$H$604,EDATE(H378,-1),$C$5:$C$604,"&gt;="&amp;C378*0.85,$C$5:$C$604,"&lt;="&amp;C378*1.15)&gt;0,"recurring",""))</f>
        <v/>
      </c>
      <c r="P378" s="157" t="str">
        <f aca="false">IF(B378="","",IF(COUNTIF(B378:$B$604,B378)=1,1,""))</f>
        <v/>
      </c>
      <c r="Q378" s="157" t="str">
        <f aca="false">IF(AND(O378="recurring",P378=1),COUNTIFS($O$5:O378,"recurring",$P$5:P378,1),"")</f>
        <v/>
      </c>
    </row>
    <row r="379" customFormat="false" ht="15" hidden="false" customHeight="false" outlineLevel="0" collapsed="false">
      <c r="A379" s="110"/>
      <c r="B379" s="108"/>
      <c r="C379" s="142"/>
      <c r="D379" s="108"/>
      <c r="E379" s="183" t="str">
        <f aca="false" t="array" ref="E379:E379">IF(B379="","",IFERROR(INDEX(Keywords!$B$5:$B$165,MAX(ISNUMBER(SEARCH(Keywords!$A$5:$A$165,B379))*(Keywords!$A$5:$A$165&lt;&gt;"")*ROW(Keywords!$A$5:$A$165))-4),""))</f>
        <v/>
      </c>
      <c r="F379" s="150" t="str">
        <f aca="false">IF(B379="","",IF(L379="Transfer","Transfer",IF(L379="Income","Income",IF(D379&lt;&gt;"",D379,IF(E379&lt;&gt;"",E379,"Uncategorized")))))</f>
        <v/>
      </c>
      <c r="G379" s="108"/>
      <c r="H379" s="184" t="str">
        <f aca="false">IF(A379="","",DATE(YEAR(A379),MONTH(A379),1))</f>
        <v/>
      </c>
      <c r="I379" s="185"/>
      <c r="J379" s="144"/>
      <c r="K379" s="159" t="str">
        <f aca="false">IF(C379="","",N(C379)/IF(N379&lt;&gt;"",N379,IF(J379="",1,IFERROR(INDEX(Setup!$C$23:$C$46,MATCH(J379,Setup!$A$23:$A$46,0)),1))))</f>
        <v/>
      </c>
      <c r="L379" s="144"/>
      <c r="M379" s="108"/>
      <c r="N379" s="111"/>
      <c r="O379" s="156" t="str">
        <f aca="false">IF(OR(B379="",L379="Transfer"),"",IF(COUNTIFS($B$5:$B$604,B379,$H$5:$H$604,EDATE(H379,-1),$C$5:$C$604,"&gt;="&amp;C379*0.85,$C$5:$C$604,"&lt;="&amp;C379*1.15)&gt;0,"recurring",""))</f>
        <v/>
      </c>
      <c r="P379" s="157" t="str">
        <f aca="false">IF(B379="","",IF(COUNTIF(B379:$B$604,B379)=1,1,""))</f>
        <v/>
      </c>
      <c r="Q379" s="157" t="str">
        <f aca="false">IF(AND(O379="recurring",P379=1),COUNTIFS($O$5:O379,"recurring",$P$5:P379,1),"")</f>
        <v/>
      </c>
    </row>
    <row r="380" customFormat="false" ht="15" hidden="false" customHeight="false" outlineLevel="0" collapsed="false">
      <c r="A380" s="110"/>
      <c r="B380" s="108"/>
      <c r="C380" s="142"/>
      <c r="D380" s="108"/>
      <c r="E380" s="183" t="str">
        <f aca="false" t="array" ref="E380:E380">IF(B380="","",IFERROR(INDEX(Keywords!$B$5:$B$165,MAX(ISNUMBER(SEARCH(Keywords!$A$5:$A$165,B380))*(Keywords!$A$5:$A$165&lt;&gt;"")*ROW(Keywords!$A$5:$A$165))-4),""))</f>
        <v/>
      </c>
      <c r="F380" s="150" t="str">
        <f aca="false">IF(B380="","",IF(L380="Transfer","Transfer",IF(L380="Income","Income",IF(D380&lt;&gt;"",D380,IF(E380&lt;&gt;"",E380,"Uncategorized")))))</f>
        <v/>
      </c>
      <c r="G380" s="108"/>
      <c r="H380" s="184" t="str">
        <f aca="false">IF(A380="","",DATE(YEAR(A380),MONTH(A380),1))</f>
        <v/>
      </c>
      <c r="I380" s="185"/>
      <c r="J380" s="144"/>
      <c r="K380" s="159" t="str">
        <f aca="false">IF(C380="","",N(C380)/IF(N380&lt;&gt;"",N380,IF(J380="",1,IFERROR(INDEX(Setup!$C$23:$C$46,MATCH(J380,Setup!$A$23:$A$46,0)),1))))</f>
        <v/>
      </c>
      <c r="L380" s="144"/>
      <c r="M380" s="108"/>
      <c r="N380" s="111"/>
      <c r="O380" s="156" t="str">
        <f aca="false">IF(OR(B380="",L380="Transfer"),"",IF(COUNTIFS($B$5:$B$604,B380,$H$5:$H$604,EDATE(H380,-1),$C$5:$C$604,"&gt;="&amp;C380*0.85,$C$5:$C$604,"&lt;="&amp;C380*1.15)&gt;0,"recurring",""))</f>
        <v/>
      </c>
      <c r="P380" s="157" t="str">
        <f aca="false">IF(B380="","",IF(COUNTIF(B380:$B$604,B380)=1,1,""))</f>
        <v/>
      </c>
      <c r="Q380" s="157" t="str">
        <f aca="false">IF(AND(O380="recurring",P380=1),COUNTIFS($O$5:O380,"recurring",$P$5:P380,1),"")</f>
        <v/>
      </c>
    </row>
    <row r="381" customFormat="false" ht="15" hidden="false" customHeight="false" outlineLevel="0" collapsed="false">
      <c r="A381" s="110"/>
      <c r="B381" s="108"/>
      <c r="C381" s="142"/>
      <c r="D381" s="108"/>
      <c r="E381" s="183" t="str">
        <f aca="false" t="array" ref="E381:E381">IF(B381="","",IFERROR(INDEX(Keywords!$B$5:$B$165,MAX(ISNUMBER(SEARCH(Keywords!$A$5:$A$165,B381))*(Keywords!$A$5:$A$165&lt;&gt;"")*ROW(Keywords!$A$5:$A$165))-4),""))</f>
        <v/>
      </c>
      <c r="F381" s="150" t="str">
        <f aca="false">IF(B381="","",IF(L381="Transfer","Transfer",IF(L381="Income","Income",IF(D381&lt;&gt;"",D381,IF(E381&lt;&gt;"",E381,"Uncategorized")))))</f>
        <v/>
      </c>
      <c r="G381" s="108"/>
      <c r="H381" s="184" t="str">
        <f aca="false">IF(A381="","",DATE(YEAR(A381),MONTH(A381),1))</f>
        <v/>
      </c>
      <c r="I381" s="185"/>
      <c r="J381" s="144"/>
      <c r="K381" s="159" t="str">
        <f aca="false">IF(C381="","",N(C381)/IF(N381&lt;&gt;"",N381,IF(J381="",1,IFERROR(INDEX(Setup!$C$23:$C$46,MATCH(J381,Setup!$A$23:$A$46,0)),1))))</f>
        <v/>
      </c>
      <c r="L381" s="144"/>
      <c r="M381" s="108"/>
      <c r="N381" s="111"/>
      <c r="O381" s="156" t="str">
        <f aca="false">IF(OR(B381="",L381="Transfer"),"",IF(COUNTIFS($B$5:$B$604,B381,$H$5:$H$604,EDATE(H381,-1),$C$5:$C$604,"&gt;="&amp;C381*0.85,$C$5:$C$604,"&lt;="&amp;C381*1.15)&gt;0,"recurring",""))</f>
        <v/>
      </c>
      <c r="P381" s="157" t="str">
        <f aca="false">IF(B381="","",IF(COUNTIF(B381:$B$604,B381)=1,1,""))</f>
        <v/>
      </c>
      <c r="Q381" s="157" t="str">
        <f aca="false">IF(AND(O381="recurring",P381=1),COUNTIFS($O$5:O381,"recurring",$P$5:P381,1),"")</f>
        <v/>
      </c>
    </row>
    <row r="382" customFormat="false" ht="15" hidden="false" customHeight="false" outlineLevel="0" collapsed="false">
      <c r="A382" s="110"/>
      <c r="B382" s="108"/>
      <c r="C382" s="142"/>
      <c r="D382" s="108"/>
      <c r="E382" s="183" t="str">
        <f aca="false" t="array" ref="E382:E382">IF(B382="","",IFERROR(INDEX(Keywords!$B$5:$B$165,MAX(ISNUMBER(SEARCH(Keywords!$A$5:$A$165,B382))*(Keywords!$A$5:$A$165&lt;&gt;"")*ROW(Keywords!$A$5:$A$165))-4),""))</f>
        <v/>
      </c>
      <c r="F382" s="150" t="str">
        <f aca="false">IF(B382="","",IF(L382="Transfer","Transfer",IF(L382="Income","Income",IF(D382&lt;&gt;"",D382,IF(E382&lt;&gt;"",E382,"Uncategorized")))))</f>
        <v/>
      </c>
      <c r="G382" s="108"/>
      <c r="H382" s="184" t="str">
        <f aca="false">IF(A382="","",DATE(YEAR(A382),MONTH(A382),1))</f>
        <v/>
      </c>
      <c r="I382" s="185"/>
      <c r="J382" s="144"/>
      <c r="K382" s="159" t="str">
        <f aca="false">IF(C382="","",N(C382)/IF(N382&lt;&gt;"",N382,IF(J382="",1,IFERROR(INDEX(Setup!$C$23:$C$46,MATCH(J382,Setup!$A$23:$A$46,0)),1))))</f>
        <v/>
      </c>
      <c r="L382" s="144"/>
      <c r="M382" s="108"/>
      <c r="N382" s="111"/>
      <c r="O382" s="156" t="str">
        <f aca="false">IF(OR(B382="",L382="Transfer"),"",IF(COUNTIFS($B$5:$B$604,B382,$H$5:$H$604,EDATE(H382,-1),$C$5:$C$604,"&gt;="&amp;C382*0.85,$C$5:$C$604,"&lt;="&amp;C382*1.15)&gt;0,"recurring",""))</f>
        <v/>
      </c>
      <c r="P382" s="157" t="str">
        <f aca="false">IF(B382="","",IF(COUNTIF(B382:$B$604,B382)=1,1,""))</f>
        <v/>
      </c>
      <c r="Q382" s="157" t="str">
        <f aca="false">IF(AND(O382="recurring",P382=1),COUNTIFS($O$5:O382,"recurring",$P$5:P382,1),"")</f>
        <v/>
      </c>
    </row>
    <row r="383" customFormat="false" ht="15" hidden="false" customHeight="false" outlineLevel="0" collapsed="false">
      <c r="A383" s="110"/>
      <c r="B383" s="108"/>
      <c r="C383" s="142"/>
      <c r="D383" s="108"/>
      <c r="E383" s="183" t="str">
        <f aca="false" t="array" ref="E383:E383">IF(B383="","",IFERROR(INDEX(Keywords!$B$5:$B$165,MAX(ISNUMBER(SEARCH(Keywords!$A$5:$A$165,B383))*(Keywords!$A$5:$A$165&lt;&gt;"")*ROW(Keywords!$A$5:$A$165))-4),""))</f>
        <v/>
      </c>
      <c r="F383" s="150" t="str">
        <f aca="false">IF(B383="","",IF(L383="Transfer","Transfer",IF(L383="Income","Income",IF(D383&lt;&gt;"",D383,IF(E383&lt;&gt;"",E383,"Uncategorized")))))</f>
        <v/>
      </c>
      <c r="G383" s="108"/>
      <c r="H383" s="184" t="str">
        <f aca="false">IF(A383="","",DATE(YEAR(A383),MONTH(A383),1))</f>
        <v/>
      </c>
      <c r="I383" s="185"/>
      <c r="J383" s="144"/>
      <c r="K383" s="159" t="str">
        <f aca="false">IF(C383="","",N(C383)/IF(N383&lt;&gt;"",N383,IF(J383="",1,IFERROR(INDEX(Setup!$C$23:$C$46,MATCH(J383,Setup!$A$23:$A$46,0)),1))))</f>
        <v/>
      </c>
      <c r="L383" s="144"/>
      <c r="M383" s="108"/>
      <c r="N383" s="111"/>
      <c r="O383" s="156" t="str">
        <f aca="false">IF(OR(B383="",L383="Transfer"),"",IF(COUNTIFS($B$5:$B$604,B383,$H$5:$H$604,EDATE(H383,-1),$C$5:$C$604,"&gt;="&amp;C383*0.85,$C$5:$C$604,"&lt;="&amp;C383*1.15)&gt;0,"recurring",""))</f>
        <v/>
      </c>
      <c r="P383" s="157" t="str">
        <f aca="false">IF(B383="","",IF(COUNTIF(B383:$B$604,B383)=1,1,""))</f>
        <v/>
      </c>
      <c r="Q383" s="157" t="str">
        <f aca="false">IF(AND(O383="recurring",P383=1),COUNTIFS($O$5:O383,"recurring",$P$5:P383,1),"")</f>
        <v/>
      </c>
    </row>
    <row r="384" customFormat="false" ht="15" hidden="false" customHeight="false" outlineLevel="0" collapsed="false">
      <c r="A384" s="110"/>
      <c r="B384" s="108"/>
      <c r="C384" s="142"/>
      <c r="D384" s="108"/>
      <c r="E384" s="183" t="str">
        <f aca="false" t="array" ref="E384:E384">IF(B384="","",IFERROR(INDEX(Keywords!$B$5:$B$165,MAX(ISNUMBER(SEARCH(Keywords!$A$5:$A$165,B384))*(Keywords!$A$5:$A$165&lt;&gt;"")*ROW(Keywords!$A$5:$A$165))-4),""))</f>
        <v/>
      </c>
      <c r="F384" s="150" t="str">
        <f aca="false">IF(B384="","",IF(L384="Transfer","Transfer",IF(L384="Income","Income",IF(D384&lt;&gt;"",D384,IF(E384&lt;&gt;"",E384,"Uncategorized")))))</f>
        <v/>
      </c>
      <c r="G384" s="108"/>
      <c r="H384" s="184" t="str">
        <f aca="false">IF(A384="","",DATE(YEAR(A384),MONTH(A384),1))</f>
        <v/>
      </c>
      <c r="I384" s="185"/>
      <c r="J384" s="144"/>
      <c r="K384" s="159" t="str">
        <f aca="false">IF(C384="","",N(C384)/IF(N384&lt;&gt;"",N384,IF(J384="",1,IFERROR(INDEX(Setup!$C$23:$C$46,MATCH(J384,Setup!$A$23:$A$46,0)),1))))</f>
        <v/>
      </c>
      <c r="L384" s="144"/>
      <c r="M384" s="108"/>
      <c r="N384" s="111"/>
      <c r="O384" s="156" t="str">
        <f aca="false">IF(OR(B384="",L384="Transfer"),"",IF(COUNTIFS($B$5:$B$604,B384,$H$5:$H$604,EDATE(H384,-1),$C$5:$C$604,"&gt;="&amp;C384*0.85,$C$5:$C$604,"&lt;="&amp;C384*1.15)&gt;0,"recurring",""))</f>
        <v/>
      </c>
      <c r="P384" s="157" t="str">
        <f aca="false">IF(B384="","",IF(COUNTIF(B384:$B$604,B384)=1,1,""))</f>
        <v/>
      </c>
      <c r="Q384" s="157" t="str">
        <f aca="false">IF(AND(O384="recurring",P384=1),COUNTIFS($O$5:O384,"recurring",$P$5:P384,1),"")</f>
        <v/>
      </c>
    </row>
    <row r="385" customFormat="false" ht="15" hidden="false" customHeight="false" outlineLevel="0" collapsed="false">
      <c r="A385" s="110"/>
      <c r="B385" s="108"/>
      <c r="C385" s="142"/>
      <c r="D385" s="108"/>
      <c r="E385" s="183" t="str">
        <f aca="false" t="array" ref="E385:E385">IF(B385="","",IFERROR(INDEX(Keywords!$B$5:$B$165,MAX(ISNUMBER(SEARCH(Keywords!$A$5:$A$165,B385))*(Keywords!$A$5:$A$165&lt;&gt;"")*ROW(Keywords!$A$5:$A$165))-4),""))</f>
        <v/>
      </c>
      <c r="F385" s="150" t="str">
        <f aca="false">IF(B385="","",IF(L385="Transfer","Transfer",IF(L385="Income","Income",IF(D385&lt;&gt;"",D385,IF(E385&lt;&gt;"",E385,"Uncategorized")))))</f>
        <v/>
      </c>
      <c r="G385" s="108"/>
      <c r="H385" s="184" t="str">
        <f aca="false">IF(A385="","",DATE(YEAR(A385),MONTH(A385),1))</f>
        <v/>
      </c>
      <c r="I385" s="185"/>
      <c r="J385" s="144"/>
      <c r="K385" s="159" t="str">
        <f aca="false">IF(C385="","",N(C385)/IF(N385&lt;&gt;"",N385,IF(J385="",1,IFERROR(INDEX(Setup!$C$23:$C$46,MATCH(J385,Setup!$A$23:$A$46,0)),1))))</f>
        <v/>
      </c>
      <c r="L385" s="144"/>
      <c r="M385" s="108"/>
      <c r="N385" s="111"/>
      <c r="O385" s="156" t="str">
        <f aca="false">IF(OR(B385="",L385="Transfer"),"",IF(COUNTIFS($B$5:$B$604,B385,$H$5:$H$604,EDATE(H385,-1),$C$5:$C$604,"&gt;="&amp;C385*0.85,$C$5:$C$604,"&lt;="&amp;C385*1.15)&gt;0,"recurring",""))</f>
        <v/>
      </c>
      <c r="P385" s="157" t="str">
        <f aca="false">IF(B385="","",IF(COUNTIF(B385:$B$604,B385)=1,1,""))</f>
        <v/>
      </c>
      <c r="Q385" s="157" t="str">
        <f aca="false">IF(AND(O385="recurring",P385=1),COUNTIFS($O$5:O385,"recurring",$P$5:P385,1),"")</f>
        <v/>
      </c>
    </row>
    <row r="386" customFormat="false" ht="15" hidden="false" customHeight="false" outlineLevel="0" collapsed="false">
      <c r="A386" s="110"/>
      <c r="B386" s="108"/>
      <c r="C386" s="142"/>
      <c r="D386" s="108"/>
      <c r="E386" s="183" t="str">
        <f aca="false" t="array" ref="E386:E386">IF(B386="","",IFERROR(INDEX(Keywords!$B$5:$B$165,MAX(ISNUMBER(SEARCH(Keywords!$A$5:$A$165,B386))*(Keywords!$A$5:$A$165&lt;&gt;"")*ROW(Keywords!$A$5:$A$165))-4),""))</f>
        <v/>
      </c>
      <c r="F386" s="150" t="str">
        <f aca="false">IF(B386="","",IF(L386="Transfer","Transfer",IF(L386="Income","Income",IF(D386&lt;&gt;"",D386,IF(E386&lt;&gt;"",E386,"Uncategorized")))))</f>
        <v/>
      </c>
      <c r="G386" s="108"/>
      <c r="H386" s="184" t="str">
        <f aca="false">IF(A386="","",DATE(YEAR(A386),MONTH(A386),1))</f>
        <v/>
      </c>
      <c r="I386" s="185"/>
      <c r="J386" s="144"/>
      <c r="K386" s="159" t="str">
        <f aca="false">IF(C386="","",N(C386)/IF(N386&lt;&gt;"",N386,IF(J386="",1,IFERROR(INDEX(Setup!$C$23:$C$46,MATCH(J386,Setup!$A$23:$A$46,0)),1))))</f>
        <v/>
      </c>
      <c r="L386" s="144"/>
      <c r="M386" s="108"/>
      <c r="N386" s="111"/>
      <c r="O386" s="156" t="str">
        <f aca="false">IF(OR(B386="",L386="Transfer"),"",IF(COUNTIFS($B$5:$B$604,B386,$H$5:$H$604,EDATE(H386,-1),$C$5:$C$604,"&gt;="&amp;C386*0.85,$C$5:$C$604,"&lt;="&amp;C386*1.15)&gt;0,"recurring",""))</f>
        <v/>
      </c>
      <c r="P386" s="157" t="str">
        <f aca="false">IF(B386="","",IF(COUNTIF(B386:$B$604,B386)=1,1,""))</f>
        <v/>
      </c>
      <c r="Q386" s="157" t="str">
        <f aca="false">IF(AND(O386="recurring",P386=1),COUNTIFS($O$5:O386,"recurring",$P$5:P386,1),"")</f>
        <v/>
      </c>
    </row>
    <row r="387" customFormat="false" ht="15" hidden="false" customHeight="false" outlineLevel="0" collapsed="false">
      <c r="A387" s="110"/>
      <c r="B387" s="108"/>
      <c r="C387" s="142"/>
      <c r="D387" s="108"/>
      <c r="E387" s="183" t="str">
        <f aca="false" t="array" ref="E387:E387">IF(B387="","",IFERROR(INDEX(Keywords!$B$5:$B$165,MAX(ISNUMBER(SEARCH(Keywords!$A$5:$A$165,B387))*(Keywords!$A$5:$A$165&lt;&gt;"")*ROW(Keywords!$A$5:$A$165))-4),""))</f>
        <v/>
      </c>
      <c r="F387" s="150" t="str">
        <f aca="false">IF(B387="","",IF(L387="Transfer","Transfer",IF(L387="Income","Income",IF(D387&lt;&gt;"",D387,IF(E387&lt;&gt;"",E387,"Uncategorized")))))</f>
        <v/>
      </c>
      <c r="G387" s="108"/>
      <c r="H387" s="184" t="str">
        <f aca="false">IF(A387="","",DATE(YEAR(A387),MONTH(A387),1))</f>
        <v/>
      </c>
      <c r="I387" s="185"/>
      <c r="J387" s="144"/>
      <c r="K387" s="159" t="str">
        <f aca="false">IF(C387="","",N(C387)/IF(N387&lt;&gt;"",N387,IF(J387="",1,IFERROR(INDEX(Setup!$C$23:$C$46,MATCH(J387,Setup!$A$23:$A$46,0)),1))))</f>
        <v/>
      </c>
      <c r="L387" s="144"/>
      <c r="M387" s="108"/>
      <c r="N387" s="111"/>
      <c r="O387" s="156" t="str">
        <f aca="false">IF(OR(B387="",L387="Transfer"),"",IF(COUNTIFS($B$5:$B$604,B387,$H$5:$H$604,EDATE(H387,-1),$C$5:$C$604,"&gt;="&amp;C387*0.85,$C$5:$C$604,"&lt;="&amp;C387*1.15)&gt;0,"recurring",""))</f>
        <v/>
      </c>
      <c r="P387" s="157" t="str">
        <f aca="false">IF(B387="","",IF(COUNTIF(B387:$B$604,B387)=1,1,""))</f>
        <v/>
      </c>
      <c r="Q387" s="157" t="str">
        <f aca="false">IF(AND(O387="recurring",P387=1),COUNTIFS($O$5:O387,"recurring",$P$5:P387,1),"")</f>
        <v/>
      </c>
    </row>
    <row r="388" customFormat="false" ht="15" hidden="false" customHeight="false" outlineLevel="0" collapsed="false">
      <c r="A388" s="110"/>
      <c r="B388" s="108"/>
      <c r="C388" s="142"/>
      <c r="D388" s="108"/>
      <c r="E388" s="183" t="str">
        <f aca="false" t="array" ref="E388:E388">IF(B388="","",IFERROR(INDEX(Keywords!$B$5:$B$165,MAX(ISNUMBER(SEARCH(Keywords!$A$5:$A$165,B388))*(Keywords!$A$5:$A$165&lt;&gt;"")*ROW(Keywords!$A$5:$A$165))-4),""))</f>
        <v/>
      </c>
      <c r="F388" s="150" t="str">
        <f aca="false">IF(B388="","",IF(L388="Transfer","Transfer",IF(L388="Income","Income",IF(D388&lt;&gt;"",D388,IF(E388&lt;&gt;"",E388,"Uncategorized")))))</f>
        <v/>
      </c>
      <c r="G388" s="108"/>
      <c r="H388" s="184" t="str">
        <f aca="false">IF(A388="","",DATE(YEAR(A388),MONTH(A388),1))</f>
        <v/>
      </c>
      <c r="I388" s="185"/>
      <c r="J388" s="144"/>
      <c r="K388" s="159" t="str">
        <f aca="false">IF(C388="","",N(C388)/IF(N388&lt;&gt;"",N388,IF(J388="",1,IFERROR(INDEX(Setup!$C$23:$C$46,MATCH(J388,Setup!$A$23:$A$46,0)),1))))</f>
        <v/>
      </c>
      <c r="L388" s="144"/>
      <c r="M388" s="108"/>
      <c r="N388" s="111"/>
      <c r="O388" s="156" t="str">
        <f aca="false">IF(OR(B388="",L388="Transfer"),"",IF(COUNTIFS($B$5:$B$604,B388,$H$5:$H$604,EDATE(H388,-1),$C$5:$C$604,"&gt;="&amp;C388*0.85,$C$5:$C$604,"&lt;="&amp;C388*1.15)&gt;0,"recurring",""))</f>
        <v/>
      </c>
      <c r="P388" s="157" t="str">
        <f aca="false">IF(B388="","",IF(COUNTIF(B388:$B$604,B388)=1,1,""))</f>
        <v/>
      </c>
      <c r="Q388" s="157" t="str">
        <f aca="false">IF(AND(O388="recurring",P388=1),COUNTIFS($O$5:O388,"recurring",$P$5:P388,1),"")</f>
        <v/>
      </c>
    </row>
    <row r="389" customFormat="false" ht="15" hidden="false" customHeight="false" outlineLevel="0" collapsed="false">
      <c r="A389" s="110"/>
      <c r="B389" s="108"/>
      <c r="C389" s="142"/>
      <c r="D389" s="108"/>
      <c r="E389" s="183" t="str">
        <f aca="false" t="array" ref="E389:E389">IF(B389="","",IFERROR(INDEX(Keywords!$B$5:$B$165,MAX(ISNUMBER(SEARCH(Keywords!$A$5:$A$165,B389))*(Keywords!$A$5:$A$165&lt;&gt;"")*ROW(Keywords!$A$5:$A$165))-4),""))</f>
        <v/>
      </c>
      <c r="F389" s="150" t="str">
        <f aca="false">IF(B389="","",IF(L389="Transfer","Transfer",IF(L389="Income","Income",IF(D389&lt;&gt;"",D389,IF(E389&lt;&gt;"",E389,"Uncategorized")))))</f>
        <v/>
      </c>
      <c r="G389" s="108"/>
      <c r="H389" s="184" t="str">
        <f aca="false">IF(A389="","",DATE(YEAR(A389),MONTH(A389),1))</f>
        <v/>
      </c>
      <c r="I389" s="185"/>
      <c r="J389" s="144"/>
      <c r="K389" s="159" t="str">
        <f aca="false">IF(C389="","",N(C389)/IF(N389&lt;&gt;"",N389,IF(J389="",1,IFERROR(INDEX(Setup!$C$23:$C$46,MATCH(J389,Setup!$A$23:$A$46,0)),1))))</f>
        <v/>
      </c>
      <c r="L389" s="144"/>
      <c r="M389" s="108"/>
      <c r="N389" s="111"/>
      <c r="O389" s="156" t="str">
        <f aca="false">IF(OR(B389="",L389="Transfer"),"",IF(COUNTIFS($B$5:$B$604,B389,$H$5:$H$604,EDATE(H389,-1),$C$5:$C$604,"&gt;="&amp;C389*0.85,$C$5:$C$604,"&lt;="&amp;C389*1.15)&gt;0,"recurring",""))</f>
        <v/>
      </c>
      <c r="P389" s="157" t="str">
        <f aca="false">IF(B389="","",IF(COUNTIF(B389:$B$604,B389)=1,1,""))</f>
        <v/>
      </c>
      <c r="Q389" s="157" t="str">
        <f aca="false">IF(AND(O389="recurring",P389=1),COUNTIFS($O$5:O389,"recurring",$P$5:P389,1),"")</f>
        <v/>
      </c>
    </row>
    <row r="390" customFormat="false" ht="15" hidden="false" customHeight="false" outlineLevel="0" collapsed="false">
      <c r="A390" s="110"/>
      <c r="B390" s="108"/>
      <c r="C390" s="142"/>
      <c r="D390" s="108"/>
      <c r="E390" s="183" t="str">
        <f aca="false" t="array" ref="E390:E390">IF(B390="","",IFERROR(INDEX(Keywords!$B$5:$B$165,MAX(ISNUMBER(SEARCH(Keywords!$A$5:$A$165,B390))*(Keywords!$A$5:$A$165&lt;&gt;"")*ROW(Keywords!$A$5:$A$165))-4),""))</f>
        <v/>
      </c>
      <c r="F390" s="150" t="str">
        <f aca="false">IF(B390="","",IF(L390="Transfer","Transfer",IF(L390="Income","Income",IF(D390&lt;&gt;"",D390,IF(E390&lt;&gt;"",E390,"Uncategorized")))))</f>
        <v/>
      </c>
      <c r="G390" s="108"/>
      <c r="H390" s="184" t="str">
        <f aca="false">IF(A390="","",DATE(YEAR(A390),MONTH(A390),1))</f>
        <v/>
      </c>
      <c r="I390" s="185"/>
      <c r="J390" s="144"/>
      <c r="K390" s="159" t="str">
        <f aca="false">IF(C390="","",N(C390)/IF(N390&lt;&gt;"",N390,IF(J390="",1,IFERROR(INDEX(Setup!$C$23:$C$46,MATCH(J390,Setup!$A$23:$A$46,0)),1))))</f>
        <v/>
      </c>
      <c r="L390" s="144"/>
      <c r="M390" s="108"/>
      <c r="N390" s="111"/>
      <c r="O390" s="156" t="str">
        <f aca="false">IF(OR(B390="",L390="Transfer"),"",IF(COUNTIFS($B$5:$B$604,B390,$H$5:$H$604,EDATE(H390,-1),$C$5:$C$604,"&gt;="&amp;C390*0.85,$C$5:$C$604,"&lt;="&amp;C390*1.15)&gt;0,"recurring",""))</f>
        <v/>
      </c>
      <c r="P390" s="157" t="str">
        <f aca="false">IF(B390="","",IF(COUNTIF(B390:$B$604,B390)=1,1,""))</f>
        <v/>
      </c>
      <c r="Q390" s="157" t="str">
        <f aca="false">IF(AND(O390="recurring",P390=1),COUNTIFS($O$5:O390,"recurring",$P$5:P390,1),"")</f>
        <v/>
      </c>
    </row>
    <row r="391" customFormat="false" ht="15" hidden="false" customHeight="false" outlineLevel="0" collapsed="false">
      <c r="A391" s="110"/>
      <c r="B391" s="108"/>
      <c r="C391" s="142"/>
      <c r="D391" s="108"/>
      <c r="E391" s="183" t="str">
        <f aca="false" t="array" ref="E391:E391">IF(B391="","",IFERROR(INDEX(Keywords!$B$5:$B$165,MAX(ISNUMBER(SEARCH(Keywords!$A$5:$A$165,B391))*(Keywords!$A$5:$A$165&lt;&gt;"")*ROW(Keywords!$A$5:$A$165))-4),""))</f>
        <v/>
      </c>
      <c r="F391" s="150" t="str">
        <f aca="false">IF(B391="","",IF(L391="Transfer","Transfer",IF(L391="Income","Income",IF(D391&lt;&gt;"",D391,IF(E391&lt;&gt;"",E391,"Uncategorized")))))</f>
        <v/>
      </c>
      <c r="G391" s="108"/>
      <c r="H391" s="184" t="str">
        <f aca="false">IF(A391="","",DATE(YEAR(A391),MONTH(A391),1))</f>
        <v/>
      </c>
      <c r="I391" s="185"/>
      <c r="J391" s="144"/>
      <c r="K391" s="159" t="str">
        <f aca="false">IF(C391="","",N(C391)/IF(N391&lt;&gt;"",N391,IF(J391="",1,IFERROR(INDEX(Setup!$C$23:$C$46,MATCH(J391,Setup!$A$23:$A$46,0)),1))))</f>
        <v/>
      </c>
      <c r="L391" s="144"/>
      <c r="M391" s="108"/>
      <c r="N391" s="111"/>
      <c r="O391" s="156" t="str">
        <f aca="false">IF(OR(B391="",L391="Transfer"),"",IF(COUNTIFS($B$5:$B$604,B391,$H$5:$H$604,EDATE(H391,-1),$C$5:$C$604,"&gt;="&amp;C391*0.85,$C$5:$C$604,"&lt;="&amp;C391*1.15)&gt;0,"recurring",""))</f>
        <v/>
      </c>
      <c r="P391" s="157" t="str">
        <f aca="false">IF(B391="","",IF(COUNTIF(B391:$B$604,B391)=1,1,""))</f>
        <v/>
      </c>
      <c r="Q391" s="157" t="str">
        <f aca="false">IF(AND(O391="recurring",P391=1),COUNTIFS($O$5:O391,"recurring",$P$5:P391,1),"")</f>
        <v/>
      </c>
    </row>
    <row r="392" customFormat="false" ht="15" hidden="false" customHeight="false" outlineLevel="0" collapsed="false">
      <c r="A392" s="110"/>
      <c r="B392" s="108"/>
      <c r="C392" s="142"/>
      <c r="D392" s="108"/>
      <c r="E392" s="183" t="str">
        <f aca="false" t="array" ref="E392:E392">IF(B392="","",IFERROR(INDEX(Keywords!$B$5:$B$165,MAX(ISNUMBER(SEARCH(Keywords!$A$5:$A$165,B392))*(Keywords!$A$5:$A$165&lt;&gt;"")*ROW(Keywords!$A$5:$A$165))-4),""))</f>
        <v/>
      </c>
      <c r="F392" s="150" t="str">
        <f aca="false">IF(B392="","",IF(L392="Transfer","Transfer",IF(L392="Income","Income",IF(D392&lt;&gt;"",D392,IF(E392&lt;&gt;"",E392,"Uncategorized")))))</f>
        <v/>
      </c>
      <c r="G392" s="108"/>
      <c r="H392" s="184" t="str">
        <f aca="false">IF(A392="","",DATE(YEAR(A392),MONTH(A392),1))</f>
        <v/>
      </c>
      <c r="I392" s="185"/>
      <c r="J392" s="144"/>
      <c r="K392" s="159" t="str">
        <f aca="false">IF(C392="","",N(C392)/IF(N392&lt;&gt;"",N392,IF(J392="",1,IFERROR(INDEX(Setup!$C$23:$C$46,MATCH(J392,Setup!$A$23:$A$46,0)),1))))</f>
        <v/>
      </c>
      <c r="L392" s="144"/>
      <c r="M392" s="108"/>
      <c r="N392" s="111"/>
      <c r="O392" s="156" t="str">
        <f aca="false">IF(OR(B392="",L392="Transfer"),"",IF(COUNTIFS($B$5:$B$604,B392,$H$5:$H$604,EDATE(H392,-1),$C$5:$C$604,"&gt;="&amp;C392*0.85,$C$5:$C$604,"&lt;="&amp;C392*1.15)&gt;0,"recurring",""))</f>
        <v/>
      </c>
      <c r="P392" s="157" t="str">
        <f aca="false">IF(B392="","",IF(COUNTIF(B392:$B$604,B392)=1,1,""))</f>
        <v/>
      </c>
      <c r="Q392" s="157" t="str">
        <f aca="false">IF(AND(O392="recurring",P392=1),COUNTIFS($O$5:O392,"recurring",$P$5:P392,1),"")</f>
        <v/>
      </c>
    </row>
    <row r="393" customFormat="false" ht="15" hidden="false" customHeight="false" outlineLevel="0" collapsed="false">
      <c r="A393" s="110"/>
      <c r="B393" s="108"/>
      <c r="C393" s="142"/>
      <c r="D393" s="108"/>
      <c r="E393" s="183" t="str">
        <f aca="false" t="array" ref="E393:E393">IF(B393="","",IFERROR(INDEX(Keywords!$B$5:$B$165,MAX(ISNUMBER(SEARCH(Keywords!$A$5:$A$165,B393))*(Keywords!$A$5:$A$165&lt;&gt;"")*ROW(Keywords!$A$5:$A$165))-4),""))</f>
        <v/>
      </c>
      <c r="F393" s="150" t="str">
        <f aca="false">IF(B393="","",IF(L393="Transfer","Transfer",IF(L393="Income","Income",IF(D393&lt;&gt;"",D393,IF(E393&lt;&gt;"",E393,"Uncategorized")))))</f>
        <v/>
      </c>
      <c r="G393" s="108"/>
      <c r="H393" s="184" t="str">
        <f aca="false">IF(A393="","",DATE(YEAR(A393),MONTH(A393),1))</f>
        <v/>
      </c>
      <c r="I393" s="185"/>
      <c r="J393" s="144"/>
      <c r="K393" s="159" t="str">
        <f aca="false">IF(C393="","",N(C393)/IF(N393&lt;&gt;"",N393,IF(J393="",1,IFERROR(INDEX(Setup!$C$23:$C$46,MATCH(J393,Setup!$A$23:$A$46,0)),1))))</f>
        <v/>
      </c>
      <c r="L393" s="144"/>
      <c r="M393" s="108"/>
      <c r="N393" s="111"/>
      <c r="O393" s="156" t="str">
        <f aca="false">IF(OR(B393="",L393="Transfer"),"",IF(COUNTIFS($B$5:$B$604,B393,$H$5:$H$604,EDATE(H393,-1),$C$5:$C$604,"&gt;="&amp;C393*0.85,$C$5:$C$604,"&lt;="&amp;C393*1.15)&gt;0,"recurring",""))</f>
        <v/>
      </c>
      <c r="P393" s="157" t="str">
        <f aca="false">IF(B393="","",IF(COUNTIF(B393:$B$604,B393)=1,1,""))</f>
        <v/>
      </c>
      <c r="Q393" s="157" t="str">
        <f aca="false">IF(AND(O393="recurring",P393=1),COUNTIFS($O$5:O393,"recurring",$P$5:P393,1),"")</f>
        <v/>
      </c>
    </row>
    <row r="394" customFormat="false" ht="15" hidden="false" customHeight="false" outlineLevel="0" collapsed="false">
      <c r="A394" s="110"/>
      <c r="B394" s="108"/>
      <c r="C394" s="142"/>
      <c r="D394" s="108"/>
      <c r="E394" s="183" t="str">
        <f aca="false" t="array" ref="E394:E394">IF(B394="","",IFERROR(INDEX(Keywords!$B$5:$B$165,MAX(ISNUMBER(SEARCH(Keywords!$A$5:$A$165,B394))*(Keywords!$A$5:$A$165&lt;&gt;"")*ROW(Keywords!$A$5:$A$165))-4),""))</f>
        <v/>
      </c>
      <c r="F394" s="150" t="str">
        <f aca="false">IF(B394="","",IF(L394="Transfer","Transfer",IF(L394="Income","Income",IF(D394&lt;&gt;"",D394,IF(E394&lt;&gt;"",E394,"Uncategorized")))))</f>
        <v/>
      </c>
      <c r="G394" s="108"/>
      <c r="H394" s="184" t="str">
        <f aca="false">IF(A394="","",DATE(YEAR(A394),MONTH(A394),1))</f>
        <v/>
      </c>
      <c r="I394" s="185"/>
      <c r="J394" s="144"/>
      <c r="K394" s="159" t="str">
        <f aca="false">IF(C394="","",N(C394)/IF(N394&lt;&gt;"",N394,IF(J394="",1,IFERROR(INDEX(Setup!$C$23:$C$46,MATCH(J394,Setup!$A$23:$A$46,0)),1))))</f>
        <v/>
      </c>
      <c r="L394" s="144"/>
      <c r="M394" s="108"/>
      <c r="N394" s="111"/>
      <c r="O394" s="156" t="str">
        <f aca="false">IF(OR(B394="",L394="Transfer"),"",IF(COUNTIFS($B$5:$B$604,B394,$H$5:$H$604,EDATE(H394,-1),$C$5:$C$604,"&gt;="&amp;C394*0.85,$C$5:$C$604,"&lt;="&amp;C394*1.15)&gt;0,"recurring",""))</f>
        <v/>
      </c>
      <c r="P394" s="157" t="str">
        <f aca="false">IF(B394="","",IF(COUNTIF(B394:$B$604,B394)=1,1,""))</f>
        <v/>
      </c>
      <c r="Q394" s="157" t="str">
        <f aca="false">IF(AND(O394="recurring",P394=1),COUNTIFS($O$5:O394,"recurring",$P$5:P394,1),"")</f>
        <v/>
      </c>
    </row>
    <row r="395" customFormat="false" ht="15" hidden="false" customHeight="false" outlineLevel="0" collapsed="false">
      <c r="A395" s="110"/>
      <c r="B395" s="108"/>
      <c r="C395" s="142"/>
      <c r="D395" s="108"/>
      <c r="E395" s="183" t="str">
        <f aca="false" t="array" ref="E395:E395">IF(B395="","",IFERROR(INDEX(Keywords!$B$5:$B$165,MAX(ISNUMBER(SEARCH(Keywords!$A$5:$A$165,B395))*(Keywords!$A$5:$A$165&lt;&gt;"")*ROW(Keywords!$A$5:$A$165))-4),""))</f>
        <v/>
      </c>
      <c r="F395" s="150" t="str">
        <f aca="false">IF(B395="","",IF(L395="Transfer","Transfer",IF(L395="Income","Income",IF(D395&lt;&gt;"",D395,IF(E395&lt;&gt;"",E395,"Uncategorized")))))</f>
        <v/>
      </c>
      <c r="G395" s="108"/>
      <c r="H395" s="184" t="str">
        <f aca="false">IF(A395="","",DATE(YEAR(A395),MONTH(A395),1))</f>
        <v/>
      </c>
      <c r="I395" s="185"/>
      <c r="J395" s="144"/>
      <c r="K395" s="159" t="str">
        <f aca="false">IF(C395="","",N(C395)/IF(N395&lt;&gt;"",N395,IF(J395="",1,IFERROR(INDEX(Setup!$C$23:$C$46,MATCH(J395,Setup!$A$23:$A$46,0)),1))))</f>
        <v/>
      </c>
      <c r="L395" s="144"/>
      <c r="M395" s="108"/>
      <c r="N395" s="111"/>
      <c r="O395" s="156" t="str">
        <f aca="false">IF(OR(B395="",L395="Transfer"),"",IF(COUNTIFS($B$5:$B$604,B395,$H$5:$H$604,EDATE(H395,-1),$C$5:$C$604,"&gt;="&amp;C395*0.85,$C$5:$C$604,"&lt;="&amp;C395*1.15)&gt;0,"recurring",""))</f>
        <v/>
      </c>
      <c r="P395" s="157" t="str">
        <f aca="false">IF(B395="","",IF(COUNTIF(B395:$B$604,B395)=1,1,""))</f>
        <v/>
      </c>
      <c r="Q395" s="157" t="str">
        <f aca="false">IF(AND(O395="recurring",P395=1),COUNTIFS($O$5:O395,"recurring",$P$5:P395,1),"")</f>
        <v/>
      </c>
    </row>
    <row r="396" customFormat="false" ht="15" hidden="false" customHeight="false" outlineLevel="0" collapsed="false">
      <c r="A396" s="110"/>
      <c r="B396" s="108"/>
      <c r="C396" s="142"/>
      <c r="D396" s="108"/>
      <c r="E396" s="183" t="str">
        <f aca="false" t="array" ref="E396:E396">IF(B396="","",IFERROR(INDEX(Keywords!$B$5:$B$165,MAX(ISNUMBER(SEARCH(Keywords!$A$5:$A$165,B396))*(Keywords!$A$5:$A$165&lt;&gt;"")*ROW(Keywords!$A$5:$A$165))-4),""))</f>
        <v/>
      </c>
      <c r="F396" s="150" t="str">
        <f aca="false">IF(B396="","",IF(L396="Transfer","Transfer",IF(L396="Income","Income",IF(D396&lt;&gt;"",D396,IF(E396&lt;&gt;"",E396,"Uncategorized")))))</f>
        <v/>
      </c>
      <c r="G396" s="108"/>
      <c r="H396" s="184" t="str">
        <f aca="false">IF(A396="","",DATE(YEAR(A396),MONTH(A396),1))</f>
        <v/>
      </c>
      <c r="I396" s="185"/>
      <c r="J396" s="144"/>
      <c r="K396" s="159" t="str">
        <f aca="false">IF(C396="","",N(C396)/IF(N396&lt;&gt;"",N396,IF(J396="",1,IFERROR(INDEX(Setup!$C$23:$C$46,MATCH(J396,Setup!$A$23:$A$46,0)),1))))</f>
        <v/>
      </c>
      <c r="L396" s="144"/>
      <c r="M396" s="108"/>
      <c r="N396" s="111"/>
      <c r="O396" s="156" t="str">
        <f aca="false">IF(OR(B396="",L396="Transfer"),"",IF(COUNTIFS($B$5:$B$604,B396,$H$5:$H$604,EDATE(H396,-1),$C$5:$C$604,"&gt;="&amp;C396*0.85,$C$5:$C$604,"&lt;="&amp;C396*1.15)&gt;0,"recurring",""))</f>
        <v/>
      </c>
      <c r="P396" s="157" t="str">
        <f aca="false">IF(B396="","",IF(COUNTIF(B396:$B$604,B396)=1,1,""))</f>
        <v/>
      </c>
      <c r="Q396" s="157" t="str">
        <f aca="false">IF(AND(O396="recurring",P396=1),COUNTIFS($O$5:O396,"recurring",$P$5:P396,1),"")</f>
        <v/>
      </c>
    </row>
    <row r="397" customFormat="false" ht="15" hidden="false" customHeight="false" outlineLevel="0" collapsed="false">
      <c r="A397" s="110"/>
      <c r="B397" s="108"/>
      <c r="C397" s="142"/>
      <c r="D397" s="108"/>
      <c r="E397" s="183" t="str">
        <f aca="false" t="array" ref="E397:E397">IF(B397="","",IFERROR(INDEX(Keywords!$B$5:$B$165,MAX(ISNUMBER(SEARCH(Keywords!$A$5:$A$165,B397))*(Keywords!$A$5:$A$165&lt;&gt;"")*ROW(Keywords!$A$5:$A$165))-4),""))</f>
        <v/>
      </c>
      <c r="F397" s="150" t="str">
        <f aca="false">IF(B397="","",IF(L397="Transfer","Transfer",IF(L397="Income","Income",IF(D397&lt;&gt;"",D397,IF(E397&lt;&gt;"",E397,"Uncategorized")))))</f>
        <v/>
      </c>
      <c r="G397" s="108"/>
      <c r="H397" s="184" t="str">
        <f aca="false">IF(A397="","",DATE(YEAR(A397),MONTH(A397),1))</f>
        <v/>
      </c>
      <c r="I397" s="185"/>
      <c r="J397" s="144"/>
      <c r="K397" s="159" t="str">
        <f aca="false">IF(C397="","",N(C397)/IF(N397&lt;&gt;"",N397,IF(J397="",1,IFERROR(INDEX(Setup!$C$23:$C$46,MATCH(J397,Setup!$A$23:$A$46,0)),1))))</f>
        <v/>
      </c>
      <c r="L397" s="144"/>
      <c r="M397" s="108"/>
      <c r="N397" s="111"/>
      <c r="O397" s="156" t="str">
        <f aca="false">IF(OR(B397="",L397="Transfer"),"",IF(COUNTIFS($B$5:$B$604,B397,$H$5:$H$604,EDATE(H397,-1),$C$5:$C$604,"&gt;="&amp;C397*0.85,$C$5:$C$604,"&lt;="&amp;C397*1.15)&gt;0,"recurring",""))</f>
        <v/>
      </c>
      <c r="P397" s="157" t="str">
        <f aca="false">IF(B397="","",IF(COUNTIF(B397:$B$604,B397)=1,1,""))</f>
        <v/>
      </c>
      <c r="Q397" s="157" t="str">
        <f aca="false">IF(AND(O397="recurring",P397=1),COUNTIFS($O$5:O397,"recurring",$P$5:P397,1),"")</f>
        <v/>
      </c>
    </row>
    <row r="398" customFormat="false" ht="15" hidden="false" customHeight="false" outlineLevel="0" collapsed="false">
      <c r="A398" s="110"/>
      <c r="B398" s="108"/>
      <c r="C398" s="142"/>
      <c r="D398" s="108"/>
      <c r="E398" s="183" t="str">
        <f aca="false" t="array" ref="E398:E398">IF(B398="","",IFERROR(INDEX(Keywords!$B$5:$B$165,MAX(ISNUMBER(SEARCH(Keywords!$A$5:$A$165,B398))*(Keywords!$A$5:$A$165&lt;&gt;"")*ROW(Keywords!$A$5:$A$165))-4),""))</f>
        <v/>
      </c>
      <c r="F398" s="150" t="str">
        <f aca="false">IF(B398="","",IF(L398="Transfer","Transfer",IF(L398="Income","Income",IF(D398&lt;&gt;"",D398,IF(E398&lt;&gt;"",E398,"Uncategorized")))))</f>
        <v/>
      </c>
      <c r="G398" s="108"/>
      <c r="H398" s="184" t="str">
        <f aca="false">IF(A398="","",DATE(YEAR(A398),MONTH(A398),1))</f>
        <v/>
      </c>
      <c r="I398" s="185"/>
      <c r="J398" s="144"/>
      <c r="K398" s="159" t="str">
        <f aca="false">IF(C398="","",N(C398)/IF(N398&lt;&gt;"",N398,IF(J398="",1,IFERROR(INDEX(Setup!$C$23:$C$46,MATCH(J398,Setup!$A$23:$A$46,0)),1))))</f>
        <v/>
      </c>
      <c r="L398" s="144"/>
      <c r="M398" s="108"/>
      <c r="N398" s="111"/>
      <c r="O398" s="156" t="str">
        <f aca="false">IF(OR(B398="",L398="Transfer"),"",IF(COUNTIFS($B$5:$B$604,B398,$H$5:$H$604,EDATE(H398,-1),$C$5:$C$604,"&gt;="&amp;C398*0.85,$C$5:$C$604,"&lt;="&amp;C398*1.15)&gt;0,"recurring",""))</f>
        <v/>
      </c>
      <c r="P398" s="157" t="str">
        <f aca="false">IF(B398="","",IF(COUNTIF(B398:$B$604,B398)=1,1,""))</f>
        <v/>
      </c>
      <c r="Q398" s="157" t="str">
        <f aca="false">IF(AND(O398="recurring",P398=1),COUNTIFS($O$5:O398,"recurring",$P$5:P398,1),"")</f>
        <v/>
      </c>
    </row>
    <row r="399" customFormat="false" ht="15" hidden="false" customHeight="false" outlineLevel="0" collapsed="false">
      <c r="A399" s="110"/>
      <c r="B399" s="108"/>
      <c r="C399" s="142"/>
      <c r="D399" s="108"/>
      <c r="E399" s="183" t="str">
        <f aca="false" t="array" ref="E399:E399">IF(B399="","",IFERROR(INDEX(Keywords!$B$5:$B$165,MAX(ISNUMBER(SEARCH(Keywords!$A$5:$A$165,B399))*(Keywords!$A$5:$A$165&lt;&gt;"")*ROW(Keywords!$A$5:$A$165))-4),""))</f>
        <v/>
      </c>
      <c r="F399" s="150" t="str">
        <f aca="false">IF(B399="","",IF(L399="Transfer","Transfer",IF(L399="Income","Income",IF(D399&lt;&gt;"",D399,IF(E399&lt;&gt;"",E399,"Uncategorized")))))</f>
        <v/>
      </c>
      <c r="G399" s="108"/>
      <c r="H399" s="184" t="str">
        <f aca="false">IF(A399="","",DATE(YEAR(A399),MONTH(A399),1))</f>
        <v/>
      </c>
      <c r="I399" s="185"/>
      <c r="J399" s="144"/>
      <c r="K399" s="159" t="str">
        <f aca="false">IF(C399="","",N(C399)/IF(N399&lt;&gt;"",N399,IF(J399="",1,IFERROR(INDEX(Setup!$C$23:$C$46,MATCH(J399,Setup!$A$23:$A$46,0)),1))))</f>
        <v/>
      </c>
      <c r="L399" s="144"/>
      <c r="M399" s="108"/>
      <c r="N399" s="111"/>
      <c r="O399" s="156" t="str">
        <f aca="false">IF(OR(B399="",L399="Transfer"),"",IF(COUNTIFS($B$5:$B$604,B399,$H$5:$H$604,EDATE(H399,-1),$C$5:$C$604,"&gt;="&amp;C399*0.85,$C$5:$C$604,"&lt;="&amp;C399*1.15)&gt;0,"recurring",""))</f>
        <v/>
      </c>
      <c r="P399" s="157" t="str">
        <f aca="false">IF(B399="","",IF(COUNTIF(B399:$B$604,B399)=1,1,""))</f>
        <v/>
      </c>
      <c r="Q399" s="157" t="str">
        <f aca="false">IF(AND(O399="recurring",P399=1),COUNTIFS($O$5:O399,"recurring",$P$5:P399,1),"")</f>
        <v/>
      </c>
    </row>
    <row r="400" customFormat="false" ht="15" hidden="false" customHeight="false" outlineLevel="0" collapsed="false">
      <c r="A400" s="110"/>
      <c r="B400" s="108"/>
      <c r="C400" s="142"/>
      <c r="D400" s="108"/>
      <c r="E400" s="183" t="str">
        <f aca="false" t="array" ref="E400:E400">IF(B400="","",IFERROR(INDEX(Keywords!$B$5:$B$165,MAX(ISNUMBER(SEARCH(Keywords!$A$5:$A$165,B400))*(Keywords!$A$5:$A$165&lt;&gt;"")*ROW(Keywords!$A$5:$A$165))-4),""))</f>
        <v/>
      </c>
      <c r="F400" s="150" t="str">
        <f aca="false">IF(B400="","",IF(L400="Transfer","Transfer",IF(L400="Income","Income",IF(D400&lt;&gt;"",D400,IF(E400&lt;&gt;"",E400,"Uncategorized")))))</f>
        <v/>
      </c>
      <c r="G400" s="108"/>
      <c r="H400" s="184" t="str">
        <f aca="false">IF(A400="","",DATE(YEAR(A400),MONTH(A400),1))</f>
        <v/>
      </c>
      <c r="I400" s="185"/>
      <c r="J400" s="144"/>
      <c r="K400" s="159" t="str">
        <f aca="false">IF(C400="","",N(C400)/IF(N400&lt;&gt;"",N400,IF(J400="",1,IFERROR(INDEX(Setup!$C$23:$C$46,MATCH(J400,Setup!$A$23:$A$46,0)),1))))</f>
        <v/>
      </c>
      <c r="L400" s="144"/>
      <c r="M400" s="108"/>
      <c r="N400" s="111"/>
      <c r="O400" s="156" t="str">
        <f aca="false">IF(OR(B400="",L400="Transfer"),"",IF(COUNTIFS($B$5:$B$604,B400,$H$5:$H$604,EDATE(H400,-1),$C$5:$C$604,"&gt;="&amp;C400*0.85,$C$5:$C$604,"&lt;="&amp;C400*1.15)&gt;0,"recurring",""))</f>
        <v/>
      </c>
      <c r="P400" s="157" t="str">
        <f aca="false">IF(B400="","",IF(COUNTIF(B400:$B$604,B400)=1,1,""))</f>
        <v/>
      </c>
      <c r="Q400" s="157" t="str">
        <f aca="false">IF(AND(O400="recurring",P400=1),COUNTIFS($O$5:O400,"recurring",$P$5:P400,1),"")</f>
        <v/>
      </c>
    </row>
    <row r="401" customFormat="false" ht="15" hidden="false" customHeight="false" outlineLevel="0" collapsed="false">
      <c r="A401" s="110"/>
      <c r="B401" s="108"/>
      <c r="C401" s="142"/>
      <c r="D401" s="108"/>
      <c r="E401" s="183" t="str">
        <f aca="false" t="array" ref="E401:E401">IF(B401="","",IFERROR(INDEX(Keywords!$B$5:$B$165,MAX(ISNUMBER(SEARCH(Keywords!$A$5:$A$165,B401))*(Keywords!$A$5:$A$165&lt;&gt;"")*ROW(Keywords!$A$5:$A$165))-4),""))</f>
        <v/>
      </c>
      <c r="F401" s="150" t="str">
        <f aca="false">IF(B401="","",IF(L401="Transfer","Transfer",IF(L401="Income","Income",IF(D401&lt;&gt;"",D401,IF(E401&lt;&gt;"",E401,"Uncategorized")))))</f>
        <v/>
      </c>
      <c r="G401" s="108"/>
      <c r="H401" s="184" t="str">
        <f aca="false">IF(A401="","",DATE(YEAR(A401),MONTH(A401),1))</f>
        <v/>
      </c>
      <c r="I401" s="185"/>
      <c r="J401" s="144"/>
      <c r="K401" s="159" t="str">
        <f aca="false">IF(C401="","",N(C401)/IF(N401&lt;&gt;"",N401,IF(J401="",1,IFERROR(INDEX(Setup!$C$23:$C$46,MATCH(J401,Setup!$A$23:$A$46,0)),1))))</f>
        <v/>
      </c>
      <c r="L401" s="144"/>
      <c r="M401" s="108"/>
      <c r="N401" s="111"/>
      <c r="O401" s="156" t="str">
        <f aca="false">IF(OR(B401="",L401="Transfer"),"",IF(COUNTIFS($B$5:$B$604,B401,$H$5:$H$604,EDATE(H401,-1),$C$5:$C$604,"&gt;="&amp;C401*0.85,$C$5:$C$604,"&lt;="&amp;C401*1.15)&gt;0,"recurring",""))</f>
        <v/>
      </c>
      <c r="P401" s="157" t="str">
        <f aca="false">IF(B401="","",IF(COUNTIF(B401:$B$604,B401)=1,1,""))</f>
        <v/>
      </c>
      <c r="Q401" s="157" t="str">
        <f aca="false">IF(AND(O401="recurring",P401=1),COUNTIFS($O$5:O401,"recurring",$P$5:P401,1),"")</f>
        <v/>
      </c>
    </row>
    <row r="402" customFormat="false" ht="15" hidden="false" customHeight="false" outlineLevel="0" collapsed="false">
      <c r="A402" s="110"/>
      <c r="B402" s="108"/>
      <c r="C402" s="142"/>
      <c r="D402" s="108"/>
      <c r="E402" s="183" t="str">
        <f aca="false" t="array" ref="E402:E402">IF(B402="","",IFERROR(INDEX(Keywords!$B$5:$B$165,MAX(ISNUMBER(SEARCH(Keywords!$A$5:$A$165,B402))*(Keywords!$A$5:$A$165&lt;&gt;"")*ROW(Keywords!$A$5:$A$165))-4),""))</f>
        <v/>
      </c>
      <c r="F402" s="150" t="str">
        <f aca="false">IF(B402="","",IF(L402="Transfer","Transfer",IF(L402="Income","Income",IF(D402&lt;&gt;"",D402,IF(E402&lt;&gt;"",E402,"Uncategorized")))))</f>
        <v/>
      </c>
      <c r="G402" s="108"/>
      <c r="H402" s="184" t="str">
        <f aca="false">IF(A402="","",DATE(YEAR(A402),MONTH(A402),1))</f>
        <v/>
      </c>
      <c r="I402" s="185"/>
      <c r="J402" s="144"/>
      <c r="K402" s="159" t="str">
        <f aca="false">IF(C402="","",N(C402)/IF(N402&lt;&gt;"",N402,IF(J402="",1,IFERROR(INDEX(Setup!$C$23:$C$46,MATCH(J402,Setup!$A$23:$A$46,0)),1))))</f>
        <v/>
      </c>
      <c r="L402" s="144"/>
      <c r="M402" s="108"/>
      <c r="N402" s="111"/>
      <c r="O402" s="156" t="str">
        <f aca="false">IF(OR(B402="",L402="Transfer"),"",IF(COUNTIFS($B$5:$B$604,B402,$H$5:$H$604,EDATE(H402,-1),$C$5:$C$604,"&gt;="&amp;C402*0.85,$C$5:$C$604,"&lt;="&amp;C402*1.15)&gt;0,"recurring",""))</f>
        <v/>
      </c>
      <c r="P402" s="157" t="str">
        <f aca="false">IF(B402="","",IF(COUNTIF(B402:$B$604,B402)=1,1,""))</f>
        <v/>
      </c>
      <c r="Q402" s="157" t="str">
        <f aca="false">IF(AND(O402="recurring",P402=1),COUNTIFS($O$5:O402,"recurring",$P$5:P402,1),"")</f>
        <v/>
      </c>
    </row>
    <row r="403" customFormat="false" ht="15" hidden="false" customHeight="false" outlineLevel="0" collapsed="false">
      <c r="A403" s="110"/>
      <c r="B403" s="108"/>
      <c r="C403" s="142"/>
      <c r="D403" s="108"/>
      <c r="E403" s="183" t="str">
        <f aca="false" t="array" ref="E403:E403">IF(B403="","",IFERROR(INDEX(Keywords!$B$5:$B$165,MAX(ISNUMBER(SEARCH(Keywords!$A$5:$A$165,B403))*(Keywords!$A$5:$A$165&lt;&gt;"")*ROW(Keywords!$A$5:$A$165))-4),""))</f>
        <v/>
      </c>
      <c r="F403" s="150" t="str">
        <f aca="false">IF(B403="","",IF(L403="Transfer","Transfer",IF(L403="Income","Income",IF(D403&lt;&gt;"",D403,IF(E403&lt;&gt;"",E403,"Uncategorized")))))</f>
        <v/>
      </c>
      <c r="G403" s="108"/>
      <c r="H403" s="184" t="str">
        <f aca="false">IF(A403="","",DATE(YEAR(A403),MONTH(A403),1))</f>
        <v/>
      </c>
      <c r="I403" s="185"/>
      <c r="J403" s="144"/>
      <c r="K403" s="159" t="str">
        <f aca="false">IF(C403="","",N(C403)/IF(N403&lt;&gt;"",N403,IF(J403="",1,IFERROR(INDEX(Setup!$C$23:$C$46,MATCH(J403,Setup!$A$23:$A$46,0)),1))))</f>
        <v/>
      </c>
      <c r="L403" s="144"/>
      <c r="M403" s="108"/>
      <c r="N403" s="111"/>
      <c r="O403" s="156" t="str">
        <f aca="false">IF(OR(B403="",L403="Transfer"),"",IF(COUNTIFS($B$5:$B$604,B403,$H$5:$H$604,EDATE(H403,-1),$C$5:$C$604,"&gt;="&amp;C403*0.85,$C$5:$C$604,"&lt;="&amp;C403*1.15)&gt;0,"recurring",""))</f>
        <v/>
      </c>
      <c r="P403" s="157" t="str">
        <f aca="false">IF(B403="","",IF(COUNTIF(B403:$B$604,B403)=1,1,""))</f>
        <v/>
      </c>
      <c r="Q403" s="157" t="str">
        <f aca="false">IF(AND(O403="recurring",P403=1),COUNTIFS($O$5:O403,"recurring",$P$5:P403,1),"")</f>
        <v/>
      </c>
    </row>
    <row r="404" customFormat="false" ht="15" hidden="false" customHeight="false" outlineLevel="0" collapsed="false">
      <c r="A404" s="110"/>
      <c r="B404" s="108"/>
      <c r="C404" s="142"/>
      <c r="D404" s="108"/>
      <c r="E404" s="183" t="str">
        <f aca="false" t="array" ref="E404:E404">IF(B404="","",IFERROR(INDEX(Keywords!$B$5:$B$165,MAX(ISNUMBER(SEARCH(Keywords!$A$5:$A$165,B404))*(Keywords!$A$5:$A$165&lt;&gt;"")*ROW(Keywords!$A$5:$A$165))-4),""))</f>
        <v/>
      </c>
      <c r="F404" s="150" t="str">
        <f aca="false">IF(B404="","",IF(L404="Transfer","Transfer",IF(L404="Income","Income",IF(D404&lt;&gt;"",D404,IF(E404&lt;&gt;"",E404,"Uncategorized")))))</f>
        <v/>
      </c>
      <c r="G404" s="108"/>
      <c r="H404" s="184" t="str">
        <f aca="false">IF(A404="","",DATE(YEAR(A404),MONTH(A404),1))</f>
        <v/>
      </c>
      <c r="I404" s="185"/>
      <c r="J404" s="144"/>
      <c r="K404" s="159" t="str">
        <f aca="false">IF(C404="","",N(C404)/IF(N404&lt;&gt;"",N404,IF(J404="",1,IFERROR(INDEX(Setup!$C$23:$C$46,MATCH(J404,Setup!$A$23:$A$46,0)),1))))</f>
        <v/>
      </c>
      <c r="L404" s="144"/>
      <c r="M404" s="108"/>
      <c r="N404" s="111"/>
      <c r="O404" s="156" t="str">
        <f aca="false">IF(OR(B404="",L404="Transfer"),"",IF(COUNTIFS($B$5:$B$604,B404,$H$5:$H$604,EDATE(H404,-1),$C$5:$C$604,"&gt;="&amp;C404*0.85,$C$5:$C$604,"&lt;="&amp;C404*1.15)&gt;0,"recurring",""))</f>
        <v/>
      </c>
      <c r="P404" s="157" t="str">
        <f aca="false">IF(B404="","",IF(COUNTIF(B404:$B$604,B404)=1,1,""))</f>
        <v/>
      </c>
      <c r="Q404" s="157" t="str">
        <f aca="false">IF(AND(O404="recurring",P404=1),COUNTIFS($O$5:O404,"recurring",$P$5:P404,1),"")</f>
        <v/>
      </c>
    </row>
    <row r="405" customFormat="false" ht="15" hidden="false" customHeight="false" outlineLevel="0" collapsed="false">
      <c r="A405" s="110"/>
      <c r="B405" s="108"/>
      <c r="C405" s="142"/>
      <c r="D405" s="108"/>
      <c r="E405" s="183" t="str">
        <f aca="false" t="array" ref="E405:E405">IF(B405="","",IFERROR(INDEX(Keywords!$B$5:$B$165,MAX(ISNUMBER(SEARCH(Keywords!$A$5:$A$165,B405))*(Keywords!$A$5:$A$165&lt;&gt;"")*ROW(Keywords!$A$5:$A$165))-4),""))</f>
        <v/>
      </c>
      <c r="F405" s="150" t="str">
        <f aca="false">IF(B405="","",IF(L405="Transfer","Transfer",IF(L405="Income","Income",IF(D405&lt;&gt;"",D405,IF(E405&lt;&gt;"",E405,"Uncategorized")))))</f>
        <v/>
      </c>
      <c r="G405" s="108"/>
      <c r="H405" s="184" t="str">
        <f aca="false">IF(A405="","",DATE(YEAR(A405),MONTH(A405),1))</f>
        <v/>
      </c>
      <c r="I405" s="185"/>
      <c r="J405" s="144"/>
      <c r="K405" s="159" t="str">
        <f aca="false">IF(C405="","",N(C405)/IF(N405&lt;&gt;"",N405,IF(J405="",1,IFERROR(INDEX(Setup!$C$23:$C$46,MATCH(J405,Setup!$A$23:$A$46,0)),1))))</f>
        <v/>
      </c>
      <c r="L405" s="144"/>
      <c r="M405" s="108"/>
      <c r="N405" s="111"/>
      <c r="O405" s="156" t="str">
        <f aca="false">IF(OR(B405="",L405="Transfer"),"",IF(COUNTIFS($B$5:$B$604,B405,$H$5:$H$604,EDATE(H405,-1),$C$5:$C$604,"&gt;="&amp;C405*0.85,$C$5:$C$604,"&lt;="&amp;C405*1.15)&gt;0,"recurring",""))</f>
        <v/>
      </c>
      <c r="P405" s="157" t="str">
        <f aca="false">IF(B405="","",IF(COUNTIF(B405:$B$604,B405)=1,1,""))</f>
        <v/>
      </c>
      <c r="Q405" s="157" t="str">
        <f aca="false">IF(AND(O405="recurring",P405=1),COUNTIFS($O$5:O405,"recurring",$P$5:P405,1),"")</f>
        <v/>
      </c>
    </row>
    <row r="406" customFormat="false" ht="15" hidden="false" customHeight="false" outlineLevel="0" collapsed="false">
      <c r="A406" s="110"/>
      <c r="B406" s="108"/>
      <c r="C406" s="142"/>
      <c r="D406" s="108"/>
      <c r="E406" s="183" t="str">
        <f aca="false" t="array" ref="E406:E406">IF(B406="","",IFERROR(INDEX(Keywords!$B$5:$B$165,MAX(ISNUMBER(SEARCH(Keywords!$A$5:$A$165,B406))*(Keywords!$A$5:$A$165&lt;&gt;"")*ROW(Keywords!$A$5:$A$165))-4),""))</f>
        <v/>
      </c>
      <c r="F406" s="150" t="str">
        <f aca="false">IF(B406="","",IF(L406="Transfer","Transfer",IF(L406="Income","Income",IF(D406&lt;&gt;"",D406,IF(E406&lt;&gt;"",E406,"Uncategorized")))))</f>
        <v/>
      </c>
      <c r="G406" s="108"/>
      <c r="H406" s="184" t="str">
        <f aca="false">IF(A406="","",DATE(YEAR(A406),MONTH(A406),1))</f>
        <v/>
      </c>
      <c r="I406" s="185"/>
      <c r="J406" s="144"/>
      <c r="K406" s="159" t="str">
        <f aca="false">IF(C406="","",N(C406)/IF(N406&lt;&gt;"",N406,IF(J406="",1,IFERROR(INDEX(Setup!$C$23:$C$46,MATCH(J406,Setup!$A$23:$A$46,0)),1))))</f>
        <v/>
      </c>
      <c r="L406" s="144"/>
      <c r="M406" s="108"/>
      <c r="N406" s="111"/>
      <c r="O406" s="156" t="str">
        <f aca="false">IF(OR(B406="",L406="Transfer"),"",IF(COUNTIFS($B$5:$B$604,B406,$H$5:$H$604,EDATE(H406,-1),$C$5:$C$604,"&gt;="&amp;C406*0.85,$C$5:$C$604,"&lt;="&amp;C406*1.15)&gt;0,"recurring",""))</f>
        <v/>
      </c>
      <c r="P406" s="157" t="str">
        <f aca="false">IF(B406="","",IF(COUNTIF(B406:$B$604,B406)=1,1,""))</f>
        <v/>
      </c>
      <c r="Q406" s="157" t="str">
        <f aca="false">IF(AND(O406="recurring",P406=1),COUNTIFS($O$5:O406,"recurring",$P$5:P406,1),"")</f>
        <v/>
      </c>
    </row>
    <row r="407" customFormat="false" ht="15" hidden="false" customHeight="false" outlineLevel="0" collapsed="false">
      <c r="A407" s="110"/>
      <c r="B407" s="108"/>
      <c r="C407" s="142"/>
      <c r="D407" s="108"/>
      <c r="E407" s="183" t="str">
        <f aca="false" t="array" ref="E407:E407">IF(B407="","",IFERROR(INDEX(Keywords!$B$5:$B$165,MAX(ISNUMBER(SEARCH(Keywords!$A$5:$A$165,B407))*(Keywords!$A$5:$A$165&lt;&gt;"")*ROW(Keywords!$A$5:$A$165))-4),""))</f>
        <v/>
      </c>
      <c r="F407" s="150" t="str">
        <f aca="false">IF(B407="","",IF(L407="Transfer","Transfer",IF(L407="Income","Income",IF(D407&lt;&gt;"",D407,IF(E407&lt;&gt;"",E407,"Uncategorized")))))</f>
        <v/>
      </c>
      <c r="G407" s="108"/>
      <c r="H407" s="184" t="str">
        <f aca="false">IF(A407="","",DATE(YEAR(A407),MONTH(A407),1))</f>
        <v/>
      </c>
      <c r="I407" s="185"/>
      <c r="J407" s="144"/>
      <c r="K407" s="159" t="str">
        <f aca="false">IF(C407="","",N(C407)/IF(N407&lt;&gt;"",N407,IF(J407="",1,IFERROR(INDEX(Setup!$C$23:$C$46,MATCH(J407,Setup!$A$23:$A$46,0)),1))))</f>
        <v/>
      </c>
      <c r="L407" s="144"/>
      <c r="M407" s="108"/>
      <c r="N407" s="111"/>
      <c r="O407" s="156" t="str">
        <f aca="false">IF(OR(B407="",L407="Transfer"),"",IF(COUNTIFS($B$5:$B$604,B407,$H$5:$H$604,EDATE(H407,-1),$C$5:$C$604,"&gt;="&amp;C407*0.85,$C$5:$C$604,"&lt;="&amp;C407*1.15)&gt;0,"recurring",""))</f>
        <v/>
      </c>
      <c r="P407" s="157" t="str">
        <f aca="false">IF(B407="","",IF(COUNTIF(B407:$B$604,B407)=1,1,""))</f>
        <v/>
      </c>
      <c r="Q407" s="157" t="str">
        <f aca="false">IF(AND(O407="recurring",P407=1),COUNTIFS($O$5:O407,"recurring",$P$5:P407,1),"")</f>
        <v/>
      </c>
    </row>
    <row r="408" customFormat="false" ht="15" hidden="false" customHeight="false" outlineLevel="0" collapsed="false">
      <c r="A408" s="110"/>
      <c r="B408" s="108"/>
      <c r="C408" s="142"/>
      <c r="D408" s="108"/>
      <c r="E408" s="183" t="str">
        <f aca="false" t="array" ref="E408:E408">IF(B408="","",IFERROR(INDEX(Keywords!$B$5:$B$165,MAX(ISNUMBER(SEARCH(Keywords!$A$5:$A$165,B408))*(Keywords!$A$5:$A$165&lt;&gt;"")*ROW(Keywords!$A$5:$A$165))-4),""))</f>
        <v/>
      </c>
      <c r="F408" s="150" t="str">
        <f aca="false">IF(B408="","",IF(L408="Transfer","Transfer",IF(L408="Income","Income",IF(D408&lt;&gt;"",D408,IF(E408&lt;&gt;"",E408,"Uncategorized")))))</f>
        <v/>
      </c>
      <c r="G408" s="108"/>
      <c r="H408" s="184" t="str">
        <f aca="false">IF(A408="","",DATE(YEAR(A408),MONTH(A408),1))</f>
        <v/>
      </c>
      <c r="I408" s="185"/>
      <c r="J408" s="144"/>
      <c r="K408" s="159" t="str">
        <f aca="false">IF(C408="","",N(C408)/IF(N408&lt;&gt;"",N408,IF(J408="",1,IFERROR(INDEX(Setup!$C$23:$C$46,MATCH(J408,Setup!$A$23:$A$46,0)),1))))</f>
        <v/>
      </c>
      <c r="L408" s="144"/>
      <c r="M408" s="108"/>
      <c r="N408" s="111"/>
      <c r="O408" s="156" t="str">
        <f aca="false">IF(OR(B408="",L408="Transfer"),"",IF(COUNTIFS($B$5:$B$604,B408,$H$5:$H$604,EDATE(H408,-1),$C$5:$C$604,"&gt;="&amp;C408*0.85,$C$5:$C$604,"&lt;="&amp;C408*1.15)&gt;0,"recurring",""))</f>
        <v/>
      </c>
      <c r="P408" s="157" t="str">
        <f aca="false">IF(B408="","",IF(COUNTIF(B408:$B$604,B408)=1,1,""))</f>
        <v/>
      </c>
      <c r="Q408" s="157" t="str">
        <f aca="false">IF(AND(O408="recurring",P408=1),COUNTIFS($O$5:O408,"recurring",$P$5:P408,1),"")</f>
        <v/>
      </c>
    </row>
    <row r="409" customFormat="false" ht="15" hidden="false" customHeight="false" outlineLevel="0" collapsed="false">
      <c r="A409" s="110"/>
      <c r="B409" s="108"/>
      <c r="C409" s="142"/>
      <c r="D409" s="108"/>
      <c r="E409" s="183" t="str">
        <f aca="false" t="array" ref="E409:E409">IF(B409="","",IFERROR(INDEX(Keywords!$B$5:$B$165,MAX(ISNUMBER(SEARCH(Keywords!$A$5:$A$165,B409))*(Keywords!$A$5:$A$165&lt;&gt;"")*ROW(Keywords!$A$5:$A$165))-4),""))</f>
        <v/>
      </c>
      <c r="F409" s="150" t="str">
        <f aca="false">IF(B409="","",IF(L409="Transfer","Transfer",IF(L409="Income","Income",IF(D409&lt;&gt;"",D409,IF(E409&lt;&gt;"",E409,"Uncategorized")))))</f>
        <v/>
      </c>
      <c r="G409" s="108"/>
      <c r="H409" s="184" t="str">
        <f aca="false">IF(A409="","",DATE(YEAR(A409),MONTH(A409),1))</f>
        <v/>
      </c>
      <c r="I409" s="185"/>
      <c r="J409" s="144"/>
      <c r="K409" s="159" t="str">
        <f aca="false">IF(C409="","",N(C409)/IF(N409&lt;&gt;"",N409,IF(J409="",1,IFERROR(INDEX(Setup!$C$23:$C$46,MATCH(J409,Setup!$A$23:$A$46,0)),1))))</f>
        <v/>
      </c>
      <c r="L409" s="144"/>
      <c r="M409" s="108"/>
      <c r="N409" s="111"/>
      <c r="O409" s="156" t="str">
        <f aca="false">IF(OR(B409="",L409="Transfer"),"",IF(COUNTIFS($B$5:$B$604,B409,$H$5:$H$604,EDATE(H409,-1),$C$5:$C$604,"&gt;="&amp;C409*0.85,$C$5:$C$604,"&lt;="&amp;C409*1.15)&gt;0,"recurring",""))</f>
        <v/>
      </c>
      <c r="P409" s="157" t="str">
        <f aca="false">IF(B409="","",IF(COUNTIF(B409:$B$604,B409)=1,1,""))</f>
        <v/>
      </c>
      <c r="Q409" s="157" t="str">
        <f aca="false">IF(AND(O409="recurring",P409=1),COUNTIFS($O$5:O409,"recurring",$P$5:P409,1),"")</f>
        <v/>
      </c>
    </row>
    <row r="410" customFormat="false" ht="15" hidden="false" customHeight="false" outlineLevel="0" collapsed="false">
      <c r="A410" s="110"/>
      <c r="B410" s="108"/>
      <c r="C410" s="142"/>
      <c r="D410" s="108"/>
      <c r="E410" s="183" t="str">
        <f aca="false" t="array" ref="E410:E410">IF(B410="","",IFERROR(INDEX(Keywords!$B$5:$B$165,MAX(ISNUMBER(SEARCH(Keywords!$A$5:$A$165,B410))*(Keywords!$A$5:$A$165&lt;&gt;"")*ROW(Keywords!$A$5:$A$165))-4),""))</f>
        <v/>
      </c>
      <c r="F410" s="150" t="str">
        <f aca="false">IF(B410="","",IF(L410="Transfer","Transfer",IF(L410="Income","Income",IF(D410&lt;&gt;"",D410,IF(E410&lt;&gt;"",E410,"Uncategorized")))))</f>
        <v/>
      </c>
      <c r="G410" s="108"/>
      <c r="H410" s="184" t="str">
        <f aca="false">IF(A410="","",DATE(YEAR(A410),MONTH(A410),1))</f>
        <v/>
      </c>
      <c r="I410" s="185"/>
      <c r="J410" s="144"/>
      <c r="K410" s="159" t="str">
        <f aca="false">IF(C410="","",N(C410)/IF(N410&lt;&gt;"",N410,IF(J410="",1,IFERROR(INDEX(Setup!$C$23:$C$46,MATCH(J410,Setup!$A$23:$A$46,0)),1))))</f>
        <v/>
      </c>
      <c r="L410" s="144"/>
      <c r="M410" s="108"/>
      <c r="N410" s="111"/>
      <c r="O410" s="156" t="str">
        <f aca="false">IF(OR(B410="",L410="Transfer"),"",IF(COUNTIFS($B$5:$B$604,B410,$H$5:$H$604,EDATE(H410,-1),$C$5:$C$604,"&gt;="&amp;C410*0.85,$C$5:$C$604,"&lt;="&amp;C410*1.15)&gt;0,"recurring",""))</f>
        <v/>
      </c>
      <c r="P410" s="157" t="str">
        <f aca="false">IF(B410="","",IF(COUNTIF(B410:$B$604,B410)=1,1,""))</f>
        <v/>
      </c>
      <c r="Q410" s="157" t="str">
        <f aca="false">IF(AND(O410="recurring",P410=1),COUNTIFS($O$5:O410,"recurring",$P$5:P410,1),"")</f>
        <v/>
      </c>
    </row>
    <row r="411" customFormat="false" ht="15" hidden="false" customHeight="false" outlineLevel="0" collapsed="false">
      <c r="A411" s="110"/>
      <c r="B411" s="108"/>
      <c r="C411" s="142"/>
      <c r="D411" s="108"/>
      <c r="E411" s="183" t="str">
        <f aca="false" t="array" ref="E411:E411">IF(B411="","",IFERROR(INDEX(Keywords!$B$5:$B$165,MAX(ISNUMBER(SEARCH(Keywords!$A$5:$A$165,B411))*(Keywords!$A$5:$A$165&lt;&gt;"")*ROW(Keywords!$A$5:$A$165))-4),""))</f>
        <v/>
      </c>
      <c r="F411" s="150" t="str">
        <f aca="false">IF(B411="","",IF(L411="Transfer","Transfer",IF(L411="Income","Income",IF(D411&lt;&gt;"",D411,IF(E411&lt;&gt;"",E411,"Uncategorized")))))</f>
        <v/>
      </c>
      <c r="G411" s="108"/>
      <c r="H411" s="184" t="str">
        <f aca="false">IF(A411="","",DATE(YEAR(A411),MONTH(A411),1))</f>
        <v/>
      </c>
      <c r="I411" s="185"/>
      <c r="J411" s="144"/>
      <c r="K411" s="159" t="str">
        <f aca="false">IF(C411="","",N(C411)/IF(N411&lt;&gt;"",N411,IF(J411="",1,IFERROR(INDEX(Setup!$C$23:$C$46,MATCH(J411,Setup!$A$23:$A$46,0)),1))))</f>
        <v/>
      </c>
      <c r="L411" s="144"/>
      <c r="M411" s="108"/>
      <c r="N411" s="111"/>
      <c r="O411" s="156" t="str">
        <f aca="false">IF(OR(B411="",L411="Transfer"),"",IF(COUNTIFS($B$5:$B$604,B411,$H$5:$H$604,EDATE(H411,-1),$C$5:$C$604,"&gt;="&amp;C411*0.85,$C$5:$C$604,"&lt;="&amp;C411*1.15)&gt;0,"recurring",""))</f>
        <v/>
      </c>
      <c r="P411" s="157" t="str">
        <f aca="false">IF(B411="","",IF(COUNTIF(B411:$B$604,B411)=1,1,""))</f>
        <v/>
      </c>
      <c r="Q411" s="157" t="str">
        <f aca="false">IF(AND(O411="recurring",P411=1),COUNTIFS($O$5:O411,"recurring",$P$5:P411,1),"")</f>
        <v/>
      </c>
    </row>
    <row r="412" customFormat="false" ht="15" hidden="false" customHeight="false" outlineLevel="0" collapsed="false">
      <c r="A412" s="110"/>
      <c r="B412" s="108"/>
      <c r="C412" s="142"/>
      <c r="D412" s="108"/>
      <c r="E412" s="183" t="str">
        <f aca="false" t="array" ref="E412:E412">IF(B412="","",IFERROR(INDEX(Keywords!$B$5:$B$165,MAX(ISNUMBER(SEARCH(Keywords!$A$5:$A$165,B412))*(Keywords!$A$5:$A$165&lt;&gt;"")*ROW(Keywords!$A$5:$A$165))-4),""))</f>
        <v/>
      </c>
      <c r="F412" s="150" t="str">
        <f aca="false">IF(B412="","",IF(L412="Transfer","Transfer",IF(L412="Income","Income",IF(D412&lt;&gt;"",D412,IF(E412&lt;&gt;"",E412,"Uncategorized")))))</f>
        <v/>
      </c>
      <c r="G412" s="108"/>
      <c r="H412" s="184" t="str">
        <f aca="false">IF(A412="","",DATE(YEAR(A412),MONTH(A412),1))</f>
        <v/>
      </c>
      <c r="I412" s="185"/>
      <c r="J412" s="144"/>
      <c r="K412" s="159" t="str">
        <f aca="false">IF(C412="","",N(C412)/IF(N412&lt;&gt;"",N412,IF(J412="",1,IFERROR(INDEX(Setup!$C$23:$C$46,MATCH(J412,Setup!$A$23:$A$46,0)),1))))</f>
        <v/>
      </c>
      <c r="L412" s="144"/>
      <c r="M412" s="108"/>
      <c r="N412" s="111"/>
      <c r="O412" s="156" t="str">
        <f aca="false">IF(OR(B412="",L412="Transfer"),"",IF(COUNTIFS($B$5:$B$604,B412,$H$5:$H$604,EDATE(H412,-1),$C$5:$C$604,"&gt;="&amp;C412*0.85,$C$5:$C$604,"&lt;="&amp;C412*1.15)&gt;0,"recurring",""))</f>
        <v/>
      </c>
      <c r="P412" s="157" t="str">
        <f aca="false">IF(B412="","",IF(COUNTIF(B412:$B$604,B412)=1,1,""))</f>
        <v/>
      </c>
      <c r="Q412" s="157" t="str">
        <f aca="false">IF(AND(O412="recurring",P412=1),COUNTIFS($O$5:O412,"recurring",$P$5:P412,1),"")</f>
        <v/>
      </c>
    </row>
    <row r="413" customFormat="false" ht="15" hidden="false" customHeight="false" outlineLevel="0" collapsed="false">
      <c r="A413" s="110"/>
      <c r="B413" s="108"/>
      <c r="C413" s="142"/>
      <c r="D413" s="108"/>
      <c r="E413" s="183" t="str">
        <f aca="false" t="array" ref="E413:E413">IF(B413="","",IFERROR(INDEX(Keywords!$B$5:$B$165,MAX(ISNUMBER(SEARCH(Keywords!$A$5:$A$165,B413))*(Keywords!$A$5:$A$165&lt;&gt;"")*ROW(Keywords!$A$5:$A$165))-4),""))</f>
        <v/>
      </c>
      <c r="F413" s="150" t="str">
        <f aca="false">IF(B413="","",IF(L413="Transfer","Transfer",IF(L413="Income","Income",IF(D413&lt;&gt;"",D413,IF(E413&lt;&gt;"",E413,"Uncategorized")))))</f>
        <v/>
      </c>
      <c r="G413" s="108"/>
      <c r="H413" s="184" t="str">
        <f aca="false">IF(A413="","",DATE(YEAR(A413),MONTH(A413),1))</f>
        <v/>
      </c>
      <c r="I413" s="185"/>
      <c r="J413" s="144"/>
      <c r="K413" s="159" t="str">
        <f aca="false">IF(C413="","",N(C413)/IF(N413&lt;&gt;"",N413,IF(J413="",1,IFERROR(INDEX(Setup!$C$23:$C$46,MATCH(J413,Setup!$A$23:$A$46,0)),1))))</f>
        <v/>
      </c>
      <c r="L413" s="144"/>
      <c r="M413" s="108"/>
      <c r="N413" s="111"/>
      <c r="O413" s="156" t="str">
        <f aca="false">IF(OR(B413="",L413="Transfer"),"",IF(COUNTIFS($B$5:$B$604,B413,$H$5:$H$604,EDATE(H413,-1),$C$5:$C$604,"&gt;="&amp;C413*0.85,$C$5:$C$604,"&lt;="&amp;C413*1.15)&gt;0,"recurring",""))</f>
        <v/>
      </c>
      <c r="P413" s="157" t="str">
        <f aca="false">IF(B413="","",IF(COUNTIF(B413:$B$604,B413)=1,1,""))</f>
        <v/>
      </c>
      <c r="Q413" s="157" t="str">
        <f aca="false">IF(AND(O413="recurring",P413=1),COUNTIFS($O$5:O413,"recurring",$P$5:P413,1),"")</f>
        <v/>
      </c>
    </row>
    <row r="414" customFormat="false" ht="15" hidden="false" customHeight="false" outlineLevel="0" collapsed="false">
      <c r="A414" s="110"/>
      <c r="B414" s="108"/>
      <c r="C414" s="142"/>
      <c r="D414" s="108"/>
      <c r="E414" s="183" t="str">
        <f aca="false" t="array" ref="E414:E414">IF(B414="","",IFERROR(INDEX(Keywords!$B$5:$B$165,MAX(ISNUMBER(SEARCH(Keywords!$A$5:$A$165,B414))*(Keywords!$A$5:$A$165&lt;&gt;"")*ROW(Keywords!$A$5:$A$165))-4),""))</f>
        <v/>
      </c>
      <c r="F414" s="150" t="str">
        <f aca="false">IF(B414="","",IF(L414="Transfer","Transfer",IF(L414="Income","Income",IF(D414&lt;&gt;"",D414,IF(E414&lt;&gt;"",E414,"Uncategorized")))))</f>
        <v/>
      </c>
      <c r="G414" s="108"/>
      <c r="H414" s="184" t="str">
        <f aca="false">IF(A414="","",DATE(YEAR(A414),MONTH(A414),1))</f>
        <v/>
      </c>
      <c r="I414" s="185"/>
      <c r="J414" s="144"/>
      <c r="K414" s="159" t="str">
        <f aca="false">IF(C414="","",N(C414)/IF(N414&lt;&gt;"",N414,IF(J414="",1,IFERROR(INDEX(Setup!$C$23:$C$46,MATCH(J414,Setup!$A$23:$A$46,0)),1))))</f>
        <v/>
      </c>
      <c r="L414" s="144"/>
      <c r="M414" s="108"/>
      <c r="N414" s="111"/>
      <c r="O414" s="156" t="str">
        <f aca="false">IF(OR(B414="",L414="Transfer"),"",IF(COUNTIFS($B$5:$B$604,B414,$H$5:$H$604,EDATE(H414,-1),$C$5:$C$604,"&gt;="&amp;C414*0.85,$C$5:$C$604,"&lt;="&amp;C414*1.15)&gt;0,"recurring",""))</f>
        <v/>
      </c>
      <c r="P414" s="157" t="str">
        <f aca="false">IF(B414="","",IF(COUNTIF(B414:$B$604,B414)=1,1,""))</f>
        <v/>
      </c>
      <c r="Q414" s="157" t="str">
        <f aca="false">IF(AND(O414="recurring",P414=1),COUNTIFS($O$5:O414,"recurring",$P$5:P414,1),"")</f>
        <v/>
      </c>
    </row>
    <row r="415" customFormat="false" ht="15" hidden="false" customHeight="false" outlineLevel="0" collapsed="false">
      <c r="A415" s="110"/>
      <c r="B415" s="108"/>
      <c r="C415" s="142"/>
      <c r="D415" s="108"/>
      <c r="E415" s="183" t="str">
        <f aca="false" t="array" ref="E415:E415">IF(B415="","",IFERROR(INDEX(Keywords!$B$5:$B$165,MAX(ISNUMBER(SEARCH(Keywords!$A$5:$A$165,B415))*(Keywords!$A$5:$A$165&lt;&gt;"")*ROW(Keywords!$A$5:$A$165))-4),""))</f>
        <v/>
      </c>
      <c r="F415" s="150" t="str">
        <f aca="false">IF(B415="","",IF(L415="Transfer","Transfer",IF(L415="Income","Income",IF(D415&lt;&gt;"",D415,IF(E415&lt;&gt;"",E415,"Uncategorized")))))</f>
        <v/>
      </c>
      <c r="G415" s="108"/>
      <c r="H415" s="184" t="str">
        <f aca="false">IF(A415="","",DATE(YEAR(A415),MONTH(A415),1))</f>
        <v/>
      </c>
      <c r="I415" s="185"/>
      <c r="J415" s="144"/>
      <c r="K415" s="159" t="str">
        <f aca="false">IF(C415="","",N(C415)/IF(N415&lt;&gt;"",N415,IF(J415="",1,IFERROR(INDEX(Setup!$C$23:$C$46,MATCH(J415,Setup!$A$23:$A$46,0)),1))))</f>
        <v/>
      </c>
      <c r="L415" s="144"/>
      <c r="M415" s="108"/>
      <c r="N415" s="111"/>
      <c r="O415" s="156" t="str">
        <f aca="false">IF(OR(B415="",L415="Transfer"),"",IF(COUNTIFS($B$5:$B$604,B415,$H$5:$H$604,EDATE(H415,-1),$C$5:$C$604,"&gt;="&amp;C415*0.85,$C$5:$C$604,"&lt;="&amp;C415*1.15)&gt;0,"recurring",""))</f>
        <v/>
      </c>
      <c r="P415" s="157" t="str">
        <f aca="false">IF(B415="","",IF(COUNTIF(B415:$B$604,B415)=1,1,""))</f>
        <v/>
      </c>
      <c r="Q415" s="157" t="str">
        <f aca="false">IF(AND(O415="recurring",P415=1),COUNTIFS($O$5:O415,"recurring",$P$5:P415,1),"")</f>
        <v/>
      </c>
    </row>
    <row r="416" customFormat="false" ht="15" hidden="false" customHeight="false" outlineLevel="0" collapsed="false">
      <c r="A416" s="110"/>
      <c r="B416" s="108"/>
      <c r="C416" s="142"/>
      <c r="D416" s="108"/>
      <c r="E416" s="183" t="str">
        <f aca="false" t="array" ref="E416:E416">IF(B416="","",IFERROR(INDEX(Keywords!$B$5:$B$165,MAX(ISNUMBER(SEARCH(Keywords!$A$5:$A$165,B416))*(Keywords!$A$5:$A$165&lt;&gt;"")*ROW(Keywords!$A$5:$A$165))-4),""))</f>
        <v/>
      </c>
      <c r="F416" s="150" t="str">
        <f aca="false">IF(B416="","",IF(L416="Transfer","Transfer",IF(L416="Income","Income",IF(D416&lt;&gt;"",D416,IF(E416&lt;&gt;"",E416,"Uncategorized")))))</f>
        <v/>
      </c>
      <c r="G416" s="108"/>
      <c r="H416" s="184" t="str">
        <f aca="false">IF(A416="","",DATE(YEAR(A416),MONTH(A416),1))</f>
        <v/>
      </c>
      <c r="I416" s="185"/>
      <c r="J416" s="144"/>
      <c r="K416" s="159" t="str">
        <f aca="false">IF(C416="","",N(C416)/IF(N416&lt;&gt;"",N416,IF(J416="",1,IFERROR(INDEX(Setup!$C$23:$C$46,MATCH(J416,Setup!$A$23:$A$46,0)),1))))</f>
        <v/>
      </c>
      <c r="L416" s="144"/>
      <c r="M416" s="108"/>
      <c r="N416" s="111"/>
      <c r="O416" s="156" t="str">
        <f aca="false">IF(OR(B416="",L416="Transfer"),"",IF(COUNTIFS($B$5:$B$604,B416,$H$5:$H$604,EDATE(H416,-1),$C$5:$C$604,"&gt;="&amp;C416*0.85,$C$5:$C$604,"&lt;="&amp;C416*1.15)&gt;0,"recurring",""))</f>
        <v/>
      </c>
      <c r="P416" s="157" t="str">
        <f aca="false">IF(B416="","",IF(COUNTIF(B416:$B$604,B416)=1,1,""))</f>
        <v/>
      </c>
      <c r="Q416" s="157" t="str">
        <f aca="false">IF(AND(O416="recurring",P416=1),COUNTIFS($O$5:O416,"recurring",$P$5:P416,1),"")</f>
        <v/>
      </c>
    </row>
    <row r="417" customFormat="false" ht="15" hidden="false" customHeight="false" outlineLevel="0" collapsed="false">
      <c r="A417" s="110"/>
      <c r="B417" s="108"/>
      <c r="C417" s="142"/>
      <c r="D417" s="108"/>
      <c r="E417" s="183" t="str">
        <f aca="false" t="array" ref="E417:E417">IF(B417="","",IFERROR(INDEX(Keywords!$B$5:$B$165,MAX(ISNUMBER(SEARCH(Keywords!$A$5:$A$165,B417))*(Keywords!$A$5:$A$165&lt;&gt;"")*ROW(Keywords!$A$5:$A$165))-4),""))</f>
        <v/>
      </c>
      <c r="F417" s="150" t="str">
        <f aca="false">IF(B417="","",IF(L417="Transfer","Transfer",IF(L417="Income","Income",IF(D417&lt;&gt;"",D417,IF(E417&lt;&gt;"",E417,"Uncategorized")))))</f>
        <v/>
      </c>
      <c r="G417" s="108"/>
      <c r="H417" s="184" t="str">
        <f aca="false">IF(A417="","",DATE(YEAR(A417),MONTH(A417),1))</f>
        <v/>
      </c>
      <c r="I417" s="185"/>
      <c r="J417" s="144"/>
      <c r="K417" s="159" t="str">
        <f aca="false">IF(C417="","",N(C417)/IF(N417&lt;&gt;"",N417,IF(J417="",1,IFERROR(INDEX(Setup!$C$23:$C$46,MATCH(J417,Setup!$A$23:$A$46,0)),1))))</f>
        <v/>
      </c>
      <c r="L417" s="144"/>
      <c r="M417" s="108"/>
      <c r="N417" s="111"/>
      <c r="O417" s="156" t="str">
        <f aca="false">IF(OR(B417="",L417="Transfer"),"",IF(COUNTIFS($B$5:$B$604,B417,$H$5:$H$604,EDATE(H417,-1),$C$5:$C$604,"&gt;="&amp;C417*0.85,$C$5:$C$604,"&lt;="&amp;C417*1.15)&gt;0,"recurring",""))</f>
        <v/>
      </c>
      <c r="P417" s="157" t="str">
        <f aca="false">IF(B417="","",IF(COUNTIF(B417:$B$604,B417)=1,1,""))</f>
        <v/>
      </c>
      <c r="Q417" s="157" t="str">
        <f aca="false">IF(AND(O417="recurring",P417=1),COUNTIFS($O$5:O417,"recurring",$P$5:P417,1),"")</f>
        <v/>
      </c>
    </row>
    <row r="418" customFormat="false" ht="15" hidden="false" customHeight="false" outlineLevel="0" collapsed="false">
      <c r="A418" s="110"/>
      <c r="B418" s="108"/>
      <c r="C418" s="142"/>
      <c r="D418" s="108"/>
      <c r="E418" s="183" t="str">
        <f aca="false" t="array" ref="E418:E418">IF(B418="","",IFERROR(INDEX(Keywords!$B$5:$B$165,MAX(ISNUMBER(SEARCH(Keywords!$A$5:$A$165,B418))*(Keywords!$A$5:$A$165&lt;&gt;"")*ROW(Keywords!$A$5:$A$165))-4),""))</f>
        <v/>
      </c>
      <c r="F418" s="150" t="str">
        <f aca="false">IF(B418="","",IF(L418="Transfer","Transfer",IF(L418="Income","Income",IF(D418&lt;&gt;"",D418,IF(E418&lt;&gt;"",E418,"Uncategorized")))))</f>
        <v/>
      </c>
      <c r="G418" s="108"/>
      <c r="H418" s="184" t="str">
        <f aca="false">IF(A418="","",DATE(YEAR(A418),MONTH(A418),1))</f>
        <v/>
      </c>
      <c r="I418" s="185"/>
      <c r="J418" s="144"/>
      <c r="K418" s="159" t="str">
        <f aca="false">IF(C418="","",N(C418)/IF(N418&lt;&gt;"",N418,IF(J418="",1,IFERROR(INDEX(Setup!$C$23:$C$46,MATCH(J418,Setup!$A$23:$A$46,0)),1))))</f>
        <v/>
      </c>
      <c r="L418" s="144"/>
      <c r="M418" s="108"/>
      <c r="N418" s="111"/>
      <c r="O418" s="156" t="str">
        <f aca="false">IF(OR(B418="",L418="Transfer"),"",IF(COUNTIFS($B$5:$B$604,B418,$H$5:$H$604,EDATE(H418,-1),$C$5:$C$604,"&gt;="&amp;C418*0.85,$C$5:$C$604,"&lt;="&amp;C418*1.15)&gt;0,"recurring",""))</f>
        <v/>
      </c>
      <c r="P418" s="157" t="str">
        <f aca="false">IF(B418="","",IF(COUNTIF(B418:$B$604,B418)=1,1,""))</f>
        <v/>
      </c>
      <c r="Q418" s="157" t="str">
        <f aca="false">IF(AND(O418="recurring",P418=1),COUNTIFS($O$5:O418,"recurring",$P$5:P418,1),"")</f>
        <v/>
      </c>
    </row>
    <row r="419" customFormat="false" ht="15" hidden="false" customHeight="false" outlineLevel="0" collapsed="false">
      <c r="A419" s="110"/>
      <c r="B419" s="108"/>
      <c r="C419" s="142"/>
      <c r="D419" s="108"/>
      <c r="E419" s="183" t="str">
        <f aca="false" t="array" ref="E419:E419">IF(B419="","",IFERROR(INDEX(Keywords!$B$5:$B$165,MAX(ISNUMBER(SEARCH(Keywords!$A$5:$A$165,B419))*(Keywords!$A$5:$A$165&lt;&gt;"")*ROW(Keywords!$A$5:$A$165))-4),""))</f>
        <v/>
      </c>
      <c r="F419" s="150" t="str">
        <f aca="false">IF(B419="","",IF(L419="Transfer","Transfer",IF(L419="Income","Income",IF(D419&lt;&gt;"",D419,IF(E419&lt;&gt;"",E419,"Uncategorized")))))</f>
        <v/>
      </c>
      <c r="G419" s="108"/>
      <c r="H419" s="184" t="str">
        <f aca="false">IF(A419="","",DATE(YEAR(A419),MONTH(A419),1))</f>
        <v/>
      </c>
      <c r="I419" s="185"/>
      <c r="J419" s="144"/>
      <c r="K419" s="159" t="str">
        <f aca="false">IF(C419="","",N(C419)/IF(N419&lt;&gt;"",N419,IF(J419="",1,IFERROR(INDEX(Setup!$C$23:$C$46,MATCH(J419,Setup!$A$23:$A$46,0)),1))))</f>
        <v/>
      </c>
      <c r="L419" s="144"/>
      <c r="M419" s="108"/>
      <c r="N419" s="111"/>
      <c r="O419" s="156" t="str">
        <f aca="false">IF(OR(B419="",L419="Transfer"),"",IF(COUNTIFS($B$5:$B$604,B419,$H$5:$H$604,EDATE(H419,-1),$C$5:$C$604,"&gt;="&amp;C419*0.85,$C$5:$C$604,"&lt;="&amp;C419*1.15)&gt;0,"recurring",""))</f>
        <v/>
      </c>
      <c r="P419" s="157" t="str">
        <f aca="false">IF(B419="","",IF(COUNTIF(B419:$B$604,B419)=1,1,""))</f>
        <v/>
      </c>
      <c r="Q419" s="157" t="str">
        <f aca="false">IF(AND(O419="recurring",P419=1),COUNTIFS($O$5:O419,"recurring",$P$5:P419,1),"")</f>
        <v/>
      </c>
    </row>
    <row r="420" customFormat="false" ht="15" hidden="false" customHeight="false" outlineLevel="0" collapsed="false">
      <c r="A420" s="110"/>
      <c r="B420" s="108"/>
      <c r="C420" s="142"/>
      <c r="D420" s="108"/>
      <c r="E420" s="183" t="str">
        <f aca="false" t="array" ref="E420:E420">IF(B420="","",IFERROR(INDEX(Keywords!$B$5:$B$165,MAX(ISNUMBER(SEARCH(Keywords!$A$5:$A$165,B420))*(Keywords!$A$5:$A$165&lt;&gt;"")*ROW(Keywords!$A$5:$A$165))-4),""))</f>
        <v/>
      </c>
      <c r="F420" s="150" t="str">
        <f aca="false">IF(B420="","",IF(L420="Transfer","Transfer",IF(L420="Income","Income",IF(D420&lt;&gt;"",D420,IF(E420&lt;&gt;"",E420,"Uncategorized")))))</f>
        <v/>
      </c>
      <c r="G420" s="108"/>
      <c r="H420" s="184" t="str">
        <f aca="false">IF(A420="","",DATE(YEAR(A420),MONTH(A420),1))</f>
        <v/>
      </c>
      <c r="I420" s="185"/>
      <c r="J420" s="144"/>
      <c r="K420" s="159" t="str">
        <f aca="false">IF(C420="","",N(C420)/IF(N420&lt;&gt;"",N420,IF(J420="",1,IFERROR(INDEX(Setup!$C$23:$C$46,MATCH(J420,Setup!$A$23:$A$46,0)),1))))</f>
        <v/>
      </c>
      <c r="L420" s="144"/>
      <c r="M420" s="108"/>
      <c r="N420" s="111"/>
      <c r="O420" s="156" t="str">
        <f aca="false">IF(OR(B420="",L420="Transfer"),"",IF(COUNTIFS($B$5:$B$604,B420,$H$5:$H$604,EDATE(H420,-1),$C$5:$C$604,"&gt;="&amp;C420*0.85,$C$5:$C$604,"&lt;="&amp;C420*1.15)&gt;0,"recurring",""))</f>
        <v/>
      </c>
      <c r="P420" s="157" t="str">
        <f aca="false">IF(B420="","",IF(COUNTIF(B420:$B$604,B420)=1,1,""))</f>
        <v/>
      </c>
      <c r="Q420" s="157" t="str">
        <f aca="false">IF(AND(O420="recurring",P420=1),COUNTIFS($O$5:O420,"recurring",$P$5:P420,1),"")</f>
        <v/>
      </c>
    </row>
    <row r="421" customFormat="false" ht="15" hidden="false" customHeight="false" outlineLevel="0" collapsed="false">
      <c r="A421" s="110"/>
      <c r="B421" s="108"/>
      <c r="C421" s="142"/>
      <c r="D421" s="108"/>
      <c r="E421" s="183" t="str">
        <f aca="false" t="array" ref="E421:E421">IF(B421="","",IFERROR(INDEX(Keywords!$B$5:$B$165,MAX(ISNUMBER(SEARCH(Keywords!$A$5:$A$165,B421))*(Keywords!$A$5:$A$165&lt;&gt;"")*ROW(Keywords!$A$5:$A$165))-4),""))</f>
        <v/>
      </c>
      <c r="F421" s="150" t="str">
        <f aca="false">IF(B421="","",IF(L421="Transfer","Transfer",IF(L421="Income","Income",IF(D421&lt;&gt;"",D421,IF(E421&lt;&gt;"",E421,"Uncategorized")))))</f>
        <v/>
      </c>
      <c r="G421" s="108"/>
      <c r="H421" s="184" t="str">
        <f aca="false">IF(A421="","",DATE(YEAR(A421),MONTH(A421),1))</f>
        <v/>
      </c>
      <c r="I421" s="185"/>
      <c r="J421" s="144"/>
      <c r="K421" s="159" t="str">
        <f aca="false">IF(C421="","",N(C421)/IF(N421&lt;&gt;"",N421,IF(J421="",1,IFERROR(INDEX(Setup!$C$23:$C$46,MATCH(J421,Setup!$A$23:$A$46,0)),1))))</f>
        <v/>
      </c>
      <c r="L421" s="144"/>
      <c r="M421" s="108"/>
      <c r="N421" s="111"/>
      <c r="O421" s="156" t="str">
        <f aca="false">IF(OR(B421="",L421="Transfer"),"",IF(COUNTIFS($B$5:$B$604,B421,$H$5:$H$604,EDATE(H421,-1),$C$5:$C$604,"&gt;="&amp;C421*0.85,$C$5:$C$604,"&lt;="&amp;C421*1.15)&gt;0,"recurring",""))</f>
        <v/>
      </c>
      <c r="P421" s="157" t="str">
        <f aca="false">IF(B421="","",IF(COUNTIF(B421:$B$604,B421)=1,1,""))</f>
        <v/>
      </c>
      <c r="Q421" s="157" t="str">
        <f aca="false">IF(AND(O421="recurring",P421=1),COUNTIFS($O$5:O421,"recurring",$P$5:P421,1),"")</f>
        <v/>
      </c>
    </row>
    <row r="422" customFormat="false" ht="15" hidden="false" customHeight="false" outlineLevel="0" collapsed="false">
      <c r="A422" s="110"/>
      <c r="B422" s="108"/>
      <c r="C422" s="142"/>
      <c r="D422" s="108"/>
      <c r="E422" s="183" t="str">
        <f aca="false" t="array" ref="E422:E422">IF(B422="","",IFERROR(INDEX(Keywords!$B$5:$B$165,MAX(ISNUMBER(SEARCH(Keywords!$A$5:$A$165,B422))*(Keywords!$A$5:$A$165&lt;&gt;"")*ROW(Keywords!$A$5:$A$165))-4),""))</f>
        <v/>
      </c>
      <c r="F422" s="150" t="str">
        <f aca="false">IF(B422="","",IF(L422="Transfer","Transfer",IF(L422="Income","Income",IF(D422&lt;&gt;"",D422,IF(E422&lt;&gt;"",E422,"Uncategorized")))))</f>
        <v/>
      </c>
      <c r="G422" s="108"/>
      <c r="H422" s="184" t="str">
        <f aca="false">IF(A422="","",DATE(YEAR(A422),MONTH(A422),1))</f>
        <v/>
      </c>
      <c r="I422" s="185"/>
      <c r="J422" s="144"/>
      <c r="K422" s="159" t="str">
        <f aca="false">IF(C422="","",N(C422)/IF(N422&lt;&gt;"",N422,IF(J422="",1,IFERROR(INDEX(Setup!$C$23:$C$46,MATCH(J422,Setup!$A$23:$A$46,0)),1))))</f>
        <v/>
      </c>
      <c r="L422" s="144"/>
      <c r="M422" s="108"/>
      <c r="N422" s="111"/>
      <c r="O422" s="156" t="str">
        <f aca="false">IF(OR(B422="",L422="Transfer"),"",IF(COUNTIFS($B$5:$B$604,B422,$H$5:$H$604,EDATE(H422,-1),$C$5:$C$604,"&gt;="&amp;C422*0.85,$C$5:$C$604,"&lt;="&amp;C422*1.15)&gt;0,"recurring",""))</f>
        <v/>
      </c>
      <c r="P422" s="157" t="str">
        <f aca="false">IF(B422="","",IF(COUNTIF(B422:$B$604,B422)=1,1,""))</f>
        <v/>
      </c>
      <c r="Q422" s="157" t="str">
        <f aca="false">IF(AND(O422="recurring",P422=1),COUNTIFS($O$5:O422,"recurring",$P$5:P422,1),"")</f>
        <v/>
      </c>
    </row>
    <row r="423" customFormat="false" ht="15" hidden="false" customHeight="false" outlineLevel="0" collapsed="false">
      <c r="A423" s="110"/>
      <c r="B423" s="108"/>
      <c r="C423" s="142"/>
      <c r="D423" s="108"/>
      <c r="E423" s="183" t="str">
        <f aca="false" t="array" ref="E423:E423">IF(B423="","",IFERROR(INDEX(Keywords!$B$5:$B$165,MAX(ISNUMBER(SEARCH(Keywords!$A$5:$A$165,B423))*(Keywords!$A$5:$A$165&lt;&gt;"")*ROW(Keywords!$A$5:$A$165))-4),""))</f>
        <v/>
      </c>
      <c r="F423" s="150" t="str">
        <f aca="false">IF(B423="","",IF(L423="Transfer","Transfer",IF(L423="Income","Income",IF(D423&lt;&gt;"",D423,IF(E423&lt;&gt;"",E423,"Uncategorized")))))</f>
        <v/>
      </c>
      <c r="G423" s="108"/>
      <c r="H423" s="184" t="str">
        <f aca="false">IF(A423="","",DATE(YEAR(A423),MONTH(A423),1))</f>
        <v/>
      </c>
      <c r="I423" s="185"/>
      <c r="J423" s="144"/>
      <c r="K423" s="159" t="str">
        <f aca="false">IF(C423="","",N(C423)/IF(N423&lt;&gt;"",N423,IF(J423="",1,IFERROR(INDEX(Setup!$C$23:$C$46,MATCH(J423,Setup!$A$23:$A$46,0)),1))))</f>
        <v/>
      </c>
      <c r="L423" s="144"/>
      <c r="M423" s="108"/>
      <c r="N423" s="111"/>
      <c r="O423" s="156" t="str">
        <f aca="false">IF(OR(B423="",L423="Transfer"),"",IF(COUNTIFS($B$5:$B$604,B423,$H$5:$H$604,EDATE(H423,-1),$C$5:$C$604,"&gt;="&amp;C423*0.85,$C$5:$C$604,"&lt;="&amp;C423*1.15)&gt;0,"recurring",""))</f>
        <v/>
      </c>
      <c r="P423" s="157" t="str">
        <f aca="false">IF(B423="","",IF(COUNTIF(B423:$B$604,B423)=1,1,""))</f>
        <v/>
      </c>
      <c r="Q423" s="157" t="str">
        <f aca="false">IF(AND(O423="recurring",P423=1),COUNTIFS($O$5:O423,"recurring",$P$5:P423,1),"")</f>
        <v/>
      </c>
    </row>
    <row r="424" customFormat="false" ht="15" hidden="false" customHeight="false" outlineLevel="0" collapsed="false">
      <c r="A424" s="110"/>
      <c r="B424" s="108"/>
      <c r="C424" s="142"/>
      <c r="D424" s="108"/>
      <c r="E424" s="183" t="str">
        <f aca="false" t="array" ref="E424:E424">IF(B424="","",IFERROR(INDEX(Keywords!$B$5:$B$165,MAX(ISNUMBER(SEARCH(Keywords!$A$5:$A$165,B424))*(Keywords!$A$5:$A$165&lt;&gt;"")*ROW(Keywords!$A$5:$A$165))-4),""))</f>
        <v/>
      </c>
      <c r="F424" s="150" t="str">
        <f aca="false">IF(B424="","",IF(L424="Transfer","Transfer",IF(L424="Income","Income",IF(D424&lt;&gt;"",D424,IF(E424&lt;&gt;"",E424,"Uncategorized")))))</f>
        <v/>
      </c>
      <c r="G424" s="108"/>
      <c r="H424" s="184" t="str">
        <f aca="false">IF(A424="","",DATE(YEAR(A424),MONTH(A424),1))</f>
        <v/>
      </c>
      <c r="I424" s="185"/>
      <c r="J424" s="144"/>
      <c r="K424" s="159" t="str">
        <f aca="false">IF(C424="","",N(C424)/IF(N424&lt;&gt;"",N424,IF(J424="",1,IFERROR(INDEX(Setup!$C$23:$C$46,MATCH(J424,Setup!$A$23:$A$46,0)),1))))</f>
        <v/>
      </c>
      <c r="L424" s="144"/>
      <c r="M424" s="108"/>
      <c r="N424" s="111"/>
      <c r="O424" s="156" t="str">
        <f aca="false">IF(OR(B424="",L424="Transfer"),"",IF(COUNTIFS($B$5:$B$604,B424,$H$5:$H$604,EDATE(H424,-1),$C$5:$C$604,"&gt;="&amp;C424*0.85,$C$5:$C$604,"&lt;="&amp;C424*1.15)&gt;0,"recurring",""))</f>
        <v/>
      </c>
      <c r="P424" s="157" t="str">
        <f aca="false">IF(B424="","",IF(COUNTIF(B424:$B$604,B424)=1,1,""))</f>
        <v/>
      </c>
      <c r="Q424" s="157" t="str">
        <f aca="false">IF(AND(O424="recurring",P424=1),COUNTIFS($O$5:O424,"recurring",$P$5:P424,1),"")</f>
        <v/>
      </c>
    </row>
    <row r="425" customFormat="false" ht="15" hidden="false" customHeight="false" outlineLevel="0" collapsed="false">
      <c r="A425" s="110"/>
      <c r="B425" s="108"/>
      <c r="C425" s="142"/>
      <c r="D425" s="108"/>
      <c r="E425" s="183" t="str">
        <f aca="false" t="array" ref="E425:E425">IF(B425="","",IFERROR(INDEX(Keywords!$B$5:$B$165,MAX(ISNUMBER(SEARCH(Keywords!$A$5:$A$165,B425))*(Keywords!$A$5:$A$165&lt;&gt;"")*ROW(Keywords!$A$5:$A$165))-4),""))</f>
        <v/>
      </c>
      <c r="F425" s="150" t="str">
        <f aca="false">IF(B425="","",IF(L425="Transfer","Transfer",IF(L425="Income","Income",IF(D425&lt;&gt;"",D425,IF(E425&lt;&gt;"",E425,"Uncategorized")))))</f>
        <v/>
      </c>
      <c r="G425" s="108"/>
      <c r="H425" s="184" t="str">
        <f aca="false">IF(A425="","",DATE(YEAR(A425),MONTH(A425),1))</f>
        <v/>
      </c>
      <c r="I425" s="185"/>
      <c r="J425" s="144"/>
      <c r="K425" s="159" t="str">
        <f aca="false">IF(C425="","",N(C425)/IF(N425&lt;&gt;"",N425,IF(J425="",1,IFERROR(INDEX(Setup!$C$23:$C$46,MATCH(J425,Setup!$A$23:$A$46,0)),1))))</f>
        <v/>
      </c>
      <c r="L425" s="144"/>
      <c r="M425" s="108"/>
      <c r="N425" s="111"/>
      <c r="O425" s="156" t="str">
        <f aca="false">IF(OR(B425="",L425="Transfer"),"",IF(COUNTIFS($B$5:$B$604,B425,$H$5:$H$604,EDATE(H425,-1),$C$5:$C$604,"&gt;="&amp;C425*0.85,$C$5:$C$604,"&lt;="&amp;C425*1.15)&gt;0,"recurring",""))</f>
        <v/>
      </c>
      <c r="P425" s="157" t="str">
        <f aca="false">IF(B425="","",IF(COUNTIF(B425:$B$604,B425)=1,1,""))</f>
        <v/>
      </c>
      <c r="Q425" s="157" t="str">
        <f aca="false">IF(AND(O425="recurring",P425=1),COUNTIFS($O$5:O425,"recurring",$P$5:P425,1),"")</f>
        <v/>
      </c>
    </row>
    <row r="426" customFormat="false" ht="15" hidden="false" customHeight="false" outlineLevel="0" collapsed="false">
      <c r="A426" s="110"/>
      <c r="B426" s="108"/>
      <c r="C426" s="142"/>
      <c r="D426" s="108"/>
      <c r="E426" s="183" t="str">
        <f aca="false" t="array" ref="E426:E426">IF(B426="","",IFERROR(INDEX(Keywords!$B$5:$B$165,MAX(ISNUMBER(SEARCH(Keywords!$A$5:$A$165,B426))*(Keywords!$A$5:$A$165&lt;&gt;"")*ROW(Keywords!$A$5:$A$165))-4),""))</f>
        <v/>
      </c>
      <c r="F426" s="150" t="str">
        <f aca="false">IF(B426="","",IF(L426="Transfer","Transfer",IF(L426="Income","Income",IF(D426&lt;&gt;"",D426,IF(E426&lt;&gt;"",E426,"Uncategorized")))))</f>
        <v/>
      </c>
      <c r="G426" s="108"/>
      <c r="H426" s="184" t="str">
        <f aca="false">IF(A426="","",DATE(YEAR(A426),MONTH(A426),1))</f>
        <v/>
      </c>
      <c r="I426" s="185"/>
      <c r="J426" s="144"/>
      <c r="K426" s="159" t="str">
        <f aca="false">IF(C426="","",N(C426)/IF(N426&lt;&gt;"",N426,IF(J426="",1,IFERROR(INDEX(Setup!$C$23:$C$46,MATCH(J426,Setup!$A$23:$A$46,0)),1))))</f>
        <v/>
      </c>
      <c r="L426" s="144"/>
      <c r="M426" s="108"/>
      <c r="N426" s="111"/>
      <c r="O426" s="156" t="str">
        <f aca="false">IF(OR(B426="",L426="Transfer"),"",IF(COUNTIFS($B$5:$B$604,B426,$H$5:$H$604,EDATE(H426,-1),$C$5:$C$604,"&gt;="&amp;C426*0.85,$C$5:$C$604,"&lt;="&amp;C426*1.15)&gt;0,"recurring",""))</f>
        <v/>
      </c>
      <c r="P426" s="157" t="str">
        <f aca="false">IF(B426="","",IF(COUNTIF(B426:$B$604,B426)=1,1,""))</f>
        <v/>
      </c>
      <c r="Q426" s="157" t="str">
        <f aca="false">IF(AND(O426="recurring",P426=1),COUNTIFS($O$5:O426,"recurring",$P$5:P426,1),"")</f>
        <v/>
      </c>
    </row>
    <row r="427" customFormat="false" ht="15" hidden="false" customHeight="false" outlineLevel="0" collapsed="false">
      <c r="A427" s="110"/>
      <c r="B427" s="108"/>
      <c r="C427" s="142"/>
      <c r="D427" s="108"/>
      <c r="E427" s="183" t="str">
        <f aca="false" t="array" ref="E427:E427">IF(B427="","",IFERROR(INDEX(Keywords!$B$5:$B$165,MAX(ISNUMBER(SEARCH(Keywords!$A$5:$A$165,B427))*(Keywords!$A$5:$A$165&lt;&gt;"")*ROW(Keywords!$A$5:$A$165))-4),""))</f>
        <v/>
      </c>
      <c r="F427" s="150" t="str">
        <f aca="false">IF(B427="","",IF(L427="Transfer","Transfer",IF(L427="Income","Income",IF(D427&lt;&gt;"",D427,IF(E427&lt;&gt;"",E427,"Uncategorized")))))</f>
        <v/>
      </c>
      <c r="G427" s="108"/>
      <c r="H427" s="184" t="str">
        <f aca="false">IF(A427="","",DATE(YEAR(A427),MONTH(A427),1))</f>
        <v/>
      </c>
      <c r="I427" s="185"/>
      <c r="J427" s="144"/>
      <c r="K427" s="159" t="str">
        <f aca="false">IF(C427="","",N(C427)/IF(N427&lt;&gt;"",N427,IF(J427="",1,IFERROR(INDEX(Setup!$C$23:$C$46,MATCH(J427,Setup!$A$23:$A$46,0)),1))))</f>
        <v/>
      </c>
      <c r="L427" s="144"/>
      <c r="M427" s="108"/>
      <c r="N427" s="111"/>
      <c r="O427" s="156" t="str">
        <f aca="false">IF(OR(B427="",L427="Transfer"),"",IF(COUNTIFS($B$5:$B$604,B427,$H$5:$H$604,EDATE(H427,-1),$C$5:$C$604,"&gt;="&amp;C427*0.85,$C$5:$C$604,"&lt;="&amp;C427*1.15)&gt;0,"recurring",""))</f>
        <v/>
      </c>
      <c r="P427" s="157" t="str">
        <f aca="false">IF(B427="","",IF(COUNTIF(B427:$B$604,B427)=1,1,""))</f>
        <v/>
      </c>
      <c r="Q427" s="157" t="str">
        <f aca="false">IF(AND(O427="recurring",P427=1),COUNTIFS($O$5:O427,"recurring",$P$5:P427,1),"")</f>
        <v/>
      </c>
    </row>
    <row r="428" customFormat="false" ht="15" hidden="false" customHeight="false" outlineLevel="0" collapsed="false">
      <c r="A428" s="110"/>
      <c r="B428" s="108"/>
      <c r="C428" s="142"/>
      <c r="D428" s="108"/>
      <c r="E428" s="183" t="str">
        <f aca="false" t="array" ref="E428:E428">IF(B428="","",IFERROR(INDEX(Keywords!$B$5:$B$165,MAX(ISNUMBER(SEARCH(Keywords!$A$5:$A$165,B428))*(Keywords!$A$5:$A$165&lt;&gt;"")*ROW(Keywords!$A$5:$A$165))-4),""))</f>
        <v/>
      </c>
      <c r="F428" s="150" t="str">
        <f aca="false">IF(B428="","",IF(L428="Transfer","Transfer",IF(L428="Income","Income",IF(D428&lt;&gt;"",D428,IF(E428&lt;&gt;"",E428,"Uncategorized")))))</f>
        <v/>
      </c>
      <c r="G428" s="108"/>
      <c r="H428" s="184" t="str">
        <f aca="false">IF(A428="","",DATE(YEAR(A428),MONTH(A428),1))</f>
        <v/>
      </c>
      <c r="I428" s="185"/>
      <c r="J428" s="144"/>
      <c r="K428" s="159" t="str">
        <f aca="false">IF(C428="","",N(C428)/IF(N428&lt;&gt;"",N428,IF(J428="",1,IFERROR(INDEX(Setup!$C$23:$C$46,MATCH(J428,Setup!$A$23:$A$46,0)),1))))</f>
        <v/>
      </c>
      <c r="L428" s="144"/>
      <c r="M428" s="108"/>
      <c r="N428" s="111"/>
      <c r="O428" s="156" t="str">
        <f aca="false">IF(OR(B428="",L428="Transfer"),"",IF(COUNTIFS($B$5:$B$604,B428,$H$5:$H$604,EDATE(H428,-1),$C$5:$C$604,"&gt;="&amp;C428*0.85,$C$5:$C$604,"&lt;="&amp;C428*1.15)&gt;0,"recurring",""))</f>
        <v/>
      </c>
      <c r="P428" s="157" t="str">
        <f aca="false">IF(B428="","",IF(COUNTIF(B428:$B$604,B428)=1,1,""))</f>
        <v/>
      </c>
      <c r="Q428" s="157" t="str">
        <f aca="false">IF(AND(O428="recurring",P428=1),COUNTIFS($O$5:O428,"recurring",$P$5:P428,1),"")</f>
        <v/>
      </c>
    </row>
    <row r="429" customFormat="false" ht="15" hidden="false" customHeight="false" outlineLevel="0" collapsed="false">
      <c r="A429" s="110"/>
      <c r="B429" s="108"/>
      <c r="C429" s="142"/>
      <c r="D429" s="108"/>
      <c r="E429" s="183" t="str">
        <f aca="false" t="array" ref="E429:E429">IF(B429="","",IFERROR(INDEX(Keywords!$B$5:$B$165,MAX(ISNUMBER(SEARCH(Keywords!$A$5:$A$165,B429))*(Keywords!$A$5:$A$165&lt;&gt;"")*ROW(Keywords!$A$5:$A$165))-4),""))</f>
        <v/>
      </c>
      <c r="F429" s="150" t="str">
        <f aca="false">IF(B429="","",IF(L429="Transfer","Transfer",IF(L429="Income","Income",IF(D429&lt;&gt;"",D429,IF(E429&lt;&gt;"",E429,"Uncategorized")))))</f>
        <v/>
      </c>
      <c r="G429" s="108"/>
      <c r="H429" s="184" t="str">
        <f aca="false">IF(A429="","",DATE(YEAR(A429),MONTH(A429),1))</f>
        <v/>
      </c>
      <c r="I429" s="185"/>
      <c r="J429" s="144"/>
      <c r="K429" s="159" t="str">
        <f aca="false">IF(C429="","",N(C429)/IF(N429&lt;&gt;"",N429,IF(J429="",1,IFERROR(INDEX(Setup!$C$23:$C$46,MATCH(J429,Setup!$A$23:$A$46,0)),1))))</f>
        <v/>
      </c>
      <c r="L429" s="144"/>
      <c r="M429" s="108"/>
      <c r="N429" s="111"/>
      <c r="O429" s="156" t="str">
        <f aca="false">IF(OR(B429="",L429="Transfer"),"",IF(COUNTIFS($B$5:$B$604,B429,$H$5:$H$604,EDATE(H429,-1),$C$5:$C$604,"&gt;="&amp;C429*0.85,$C$5:$C$604,"&lt;="&amp;C429*1.15)&gt;0,"recurring",""))</f>
        <v/>
      </c>
      <c r="P429" s="157" t="str">
        <f aca="false">IF(B429="","",IF(COUNTIF(B429:$B$604,B429)=1,1,""))</f>
        <v/>
      </c>
      <c r="Q429" s="157" t="str">
        <f aca="false">IF(AND(O429="recurring",P429=1),COUNTIFS($O$5:O429,"recurring",$P$5:P429,1),"")</f>
        <v/>
      </c>
    </row>
    <row r="430" customFormat="false" ht="15" hidden="false" customHeight="false" outlineLevel="0" collapsed="false">
      <c r="A430" s="110"/>
      <c r="B430" s="108"/>
      <c r="C430" s="142"/>
      <c r="D430" s="108"/>
      <c r="E430" s="183" t="str">
        <f aca="false" t="array" ref="E430:E430">IF(B430="","",IFERROR(INDEX(Keywords!$B$5:$B$165,MAX(ISNUMBER(SEARCH(Keywords!$A$5:$A$165,B430))*(Keywords!$A$5:$A$165&lt;&gt;"")*ROW(Keywords!$A$5:$A$165))-4),""))</f>
        <v/>
      </c>
      <c r="F430" s="150" t="str">
        <f aca="false">IF(B430="","",IF(L430="Transfer","Transfer",IF(L430="Income","Income",IF(D430&lt;&gt;"",D430,IF(E430&lt;&gt;"",E430,"Uncategorized")))))</f>
        <v/>
      </c>
      <c r="G430" s="108"/>
      <c r="H430" s="184" t="str">
        <f aca="false">IF(A430="","",DATE(YEAR(A430),MONTH(A430),1))</f>
        <v/>
      </c>
      <c r="I430" s="185"/>
      <c r="J430" s="144"/>
      <c r="K430" s="159" t="str">
        <f aca="false">IF(C430="","",N(C430)/IF(N430&lt;&gt;"",N430,IF(J430="",1,IFERROR(INDEX(Setup!$C$23:$C$46,MATCH(J430,Setup!$A$23:$A$46,0)),1))))</f>
        <v/>
      </c>
      <c r="L430" s="144"/>
      <c r="M430" s="108"/>
      <c r="N430" s="111"/>
      <c r="O430" s="156" t="str">
        <f aca="false">IF(OR(B430="",L430="Transfer"),"",IF(COUNTIFS($B$5:$B$604,B430,$H$5:$H$604,EDATE(H430,-1),$C$5:$C$604,"&gt;="&amp;C430*0.85,$C$5:$C$604,"&lt;="&amp;C430*1.15)&gt;0,"recurring",""))</f>
        <v/>
      </c>
      <c r="P430" s="157" t="str">
        <f aca="false">IF(B430="","",IF(COUNTIF(B430:$B$604,B430)=1,1,""))</f>
        <v/>
      </c>
      <c r="Q430" s="157" t="str">
        <f aca="false">IF(AND(O430="recurring",P430=1),COUNTIFS($O$5:O430,"recurring",$P$5:P430,1),"")</f>
        <v/>
      </c>
    </row>
    <row r="431" customFormat="false" ht="15" hidden="false" customHeight="false" outlineLevel="0" collapsed="false">
      <c r="A431" s="110"/>
      <c r="B431" s="108"/>
      <c r="C431" s="142"/>
      <c r="D431" s="108"/>
      <c r="E431" s="183" t="str">
        <f aca="false" t="array" ref="E431:E431">IF(B431="","",IFERROR(INDEX(Keywords!$B$5:$B$165,MAX(ISNUMBER(SEARCH(Keywords!$A$5:$A$165,B431))*(Keywords!$A$5:$A$165&lt;&gt;"")*ROW(Keywords!$A$5:$A$165))-4),""))</f>
        <v/>
      </c>
      <c r="F431" s="150" t="str">
        <f aca="false">IF(B431="","",IF(L431="Transfer","Transfer",IF(L431="Income","Income",IF(D431&lt;&gt;"",D431,IF(E431&lt;&gt;"",E431,"Uncategorized")))))</f>
        <v/>
      </c>
      <c r="G431" s="108"/>
      <c r="H431" s="184" t="str">
        <f aca="false">IF(A431="","",DATE(YEAR(A431),MONTH(A431),1))</f>
        <v/>
      </c>
      <c r="I431" s="185"/>
      <c r="J431" s="144"/>
      <c r="K431" s="159" t="str">
        <f aca="false">IF(C431="","",N(C431)/IF(N431&lt;&gt;"",N431,IF(J431="",1,IFERROR(INDEX(Setup!$C$23:$C$46,MATCH(J431,Setup!$A$23:$A$46,0)),1))))</f>
        <v/>
      </c>
      <c r="L431" s="144"/>
      <c r="M431" s="108"/>
      <c r="N431" s="111"/>
      <c r="O431" s="156" t="str">
        <f aca="false">IF(OR(B431="",L431="Transfer"),"",IF(COUNTIFS($B$5:$B$604,B431,$H$5:$H$604,EDATE(H431,-1),$C$5:$C$604,"&gt;="&amp;C431*0.85,$C$5:$C$604,"&lt;="&amp;C431*1.15)&gt;0,"recurring",""))</f>
        <v/>
      </c>
      <c r="P431" s="157" t="str">
        <f aca="false">IF(B431="","",IF(COUNTIF(B431:$B$604,B431)=1,1,""))</f>
        <v/>
      </c>
      <c r="Q431" s="157" t="str">
        <f aca="false">IF(AND(O431="recurring",P431=1),COUNTIFS($O$5:O431,"recurring",$P$5:P431,1),"")</f>
        <v/>
      </c>
    </row>
    <row r="432" customFormat="false" ht="15" hidden="false" customHeight="false" outlineLevel="0" collapsed="false">
      <c r="A432" s="110"/>
      <c r="B432" s="108"/>
      <c r="C432" s="142"/>
      <c r="D432" s="108"/>
      <c r="E432" s="183" t="str">
        <f aca="false" t="array" ref="E432:E432">IF(B432="","",IFERROR(INDEX(Keywords!$B$5:$B$165,MAX(ISNUMBER(SEARCH(Keywords!$A$5:$A$165,B432))*(Keywords!$A$5:$A$165&lt;&gt;"")*ROW(Keywords!$A$5:$A$165))-4),""))</f>
        <v/>
      </c>
      <c r="F432" s="150" t="str">
        <f aca="false">IF(B432="","",IF(L432="Transfer","Transfer",IF(L432="Income","Income",IF(D432&lt;&gt;"",D432,IF(E432&lt;&gt;"",E432,"Uncategorized")))))</f>
        <v/>
      </c>
      <c r="G432" s="108"/>
      <c r="H432" s="184" t="str">
        <f aca="false">IF(A432="","",DATE(YEAR(A432),MONTH(A432),1))</f>
        <v/>
      </c>
      <c r="I432" s="185"/>
      <c r="J432" s="144"/>
      <c r="K432" s="159" t="str">
        <f aca="false">IF(C432="","",N(C432)/IF(N432&lt;&gt;"",N432,IF(J432="",1,IFERROR(INDEX(Setup!$C$23:$C$46,MATCH(J432,Setup!$A$23:$A$46,0)),1))))</f>
        <v/>
      </c>
      <c r="L432" s="144"/>
      <c r="M432" s="108"/>
      <c r="N432" s="111"/>
      <c r="O432" s="156" t="str">
        <f aca="false">IF(OR(B432="",L432="Transfer"),"",IF(COUNTIFS($B$5:$B$604,B432,$H$5:$H$604,EDATE(H432,-1),$C$5:$C$604,"&gt;="&amp;C432*0.85,$C$5:$C$604,"&lt;="&amp;C432*1.15)&gt;0,"recurring",""))</f>
        <v/>
      </c>
      <c r="P432" s="157" t="str">
        <f aca="false">IF(B432="","",IF(COUNTIF(B432:$B$604,B432)=1,1,""))</f>
        <v/>
      </c>
      <c r="Q432" s="157" t="str">
        <f aca="false">IF(AND(O432="recurring",P432=1),COUNTIFS($O$5:O432,"recurring",$P$5:P432,1),"")</f>
        <v/>
      </c>
    </row>
    <row r="433" customFormat="false" ht="15" hidden="false" customHeight="false" outlineLevel="0" collapsed="false">
      <c r="A433" s="110"/>
      <c r="B433" s="108"/>
      <c r="C433" s="142"/>
      <c r="D433" s="108"/>
      <c r="E433" s="183" t="str">
        <f aca="false" t="array" ref="E433:E433">IF(B433="","",IFERROR(INDEX(Keywords!$B$5:$B$165,MAX(ISNUMBER(SEARCH(Keywords!$A$5:$A$165,B433))*(Keywords!$A$5:$A$165&lt;&gt;"")*ROW(Keywords!$A$5:$A$165))-4),""))</f>
        <v/>
      </c>
      <c r="F433" s="150" t="str">
        <f aca="false">IF(B433="","",IF(L433="Transfer","Transfer",IF(L433="Income","Income",IF(D433&lt;&gt;"",D433,IF(E433&lt;&gt;"",E433,"Uncategorized")))))</f>
        <v/>
      </c>
      <c r="G433" s="108"/>
      <c r="H433" s="184" t="str">
        <f aca="false">IF(A433="","",DATE(YEAR(A433),MONTH(A433),1))</f>
        <v/>
      </c>
      <c r="I433" s="185"/>
      <c r="J433" s="144"/>
      <c r="K433" s="159" t="str">
        <f aca="false">IF(C433="","",N(C433)/IF(N433&lt;&gt;"",N433,IF(J433="",1,IFERROR(INDEX(Setup!$C$23:$C$46,MATCH(J433,Setup!$A$23:$A$46,0)),1))))</f>
        <v/>
      </c>
      <c r="L433" s="144"/>
      <c r="M433" s="108"/>
      <c r="N433" s="111"/>
      <c r="O433" s="156" t="str">
        <f aca="false">IF(OR(B433="",L433="Transfer"),"",IF(COUNTIFS($B$5:$B$604,B433,$H$5:$H$604,EDATE(H433,-1),$C$5:$C$604,"&gt;="&amp;C433*0.85,$C$5:$C$604,"&lt;="&amp;C433*1.15)&gt;0,"recurring",""))</f>
        <v/>
      </c>
      <c r="P433" s="157" t="str">
        <f aca="false">IF(B433="","",IF(COUNTIF(B433:$B$604,B433)=1,1,""))</f>
        <v/>
      </c>
      <c r="Q433" s="157" t="str">
        <f aca="false">IF(AND(O433="recurring",P433=1),COUNTIFS($O$5:O433,"recurring",$P$5:P433,1),"")</f>
        <v/>
      </c>
    </row>
    <row r="434" customFormat="false" ht="15" hidden="false" customHeight="false" outlineLevel="0" collapsed="false">
      <c r="A434" s="110"/>
      <c r="B434" s="108"/>
      <c r="C434" s="142"/>
      <c r="D434" s="108"/>
      <c r="E434" s="183" t="str">
        <f aca="false" t="array" ref="E434:E434">IF(B434="","",IFERROR(INDEX(Keywords!$B$5:$B$165,MAX(ISNUMBER(SEARCH(Keywords!$A$5:$A$165,B434))*(Keywords!$A$5:$A$165&lt;&gt;"")*ROW(Keywords!$A$5:$A$165))-4),""))</f>
        <v/>
      </c>
      <c r="F434" s="150" t="str">
        <f aca="false">IF(B434="","",IF(L434="Transfer","Transfer",IF(L434="Income","Income",IF(D434&lt;&gt;"",D434,IF(E434&lt;&gt;"",E434,"Uncategorized")))))</f>
        <v/>
      </c>
      <c r="G434" s="108"/>
      <c r="H434" s="184" t="str">
        <f aca="false">IF(A434="","",DATE(YEAR(A434),MONTH(A434),1))</f>
        <v/>
      </c>
      <c r="I434" s="185"/>
      <c r="J434" s="144"/>
      <c r="K434" s="159" t="str">
        <f aca="false">IF(C434="","",N(C434)/IF(N434&lt;&gt;"",N434,IF(J434="",1,IFERROR(INDEX(Setup!$C$23:$C$46,MATCH(J434,Setup!$A$23:$A$46,0)),1))))</f>
        <v/>
      </c>
      <c r="L434" s="144"/>
      <c r="M434" s="108"/>
      <c r="N434" s="111"/>
      <c r="O434" s="156" t="str">
        <f aca="false">IF(OR(B434="",L434="Transfer"),"",IF(COUNTIFS($B$5:$B$604,B434,$H$5:$H$604,EDATE(H434,-1),$C$5:$C$604,"&gt;="&amp;C434*0.85,$C$5:$C$604,"&lt;="&amp;C434*1.15)&gt;0,"recurring",""))</f>
        <v/>
      </c>
      <c r="P434" s="157" t="str">
        <f aca="false">IF(B434="","",IF(COUNTIF(B434:$B$604,B434)=1,1,""))</f>
        <v/>
      </c>
      <c r="Q434" s="157" t="str">
        <f aca="false">IF(AND(O434="recurring",P434=1),COUNTIFS($O$5:O434,"recurring",$P$5:P434,1),"")</f>
        <v/>
      </c>
    </row>
    <row r="435" customFormat="false" ht="15" hidden="false" customHeight="false" outlineLevel="0" collapsed="false">
      <c r="A435" s="110"/>
      <c r="B435" s="108"/>
      <c r="C435" s="142"/>
      <c r="D435" s="108"/>
      <c r="E435" s="183" t="str">
        <f aca="false" t="array" ref="E435:E435">IF(B435="","",IFERROR(INDEX(Keywords!$B$5:$B$165,MAX(ISNUMBER(SEARCH(Keywords!$A$5:$A$165,B435))*(Keywords!$A$5:$A$165&lt;&gt;"")*ROW(Keywords!$A$5:$A$165))-4),""))</f>
        <v/>
      </c>
      <c r="F435" s="150" t="str">
        <f aca="false">IF(B435="","",IF(L435="Transfer","Transfer",IF(L435="Income","Income",IF(D435&lt;&gt;"",D435,IF(E435&lt;&gt;"",E435,"Uncategorized")))))</f>
        <v/>
      </c>
      <c r="G435" s="108"/>
      <c r="H435" s="184" t="str">
        <f aca="false">IF(A435="","",DATE(YEAR(A435),MONTH(A435),1))</f>
        <v/>
      </c>
      <c r="I435" s="185"/>
      <c r="J435" s="144"/>
      <c r="K435" s="159" t="str">
        <f aca="false">IF(C435="","",N(C435)/IF(N435&lt;&gt;"",N435,IF(J435="",1,IFERROR(INDEX(Setup!$C$23:$C$46,MATCH(J435,Setup!$A$23:$A$46,0)),1))))</f>
        <v/>
      </c>
      <c r="L435" s="144"/>
      <c r="M435" s="108"/>
      <c r="N435" s="111"/>
      <c r="O435" s="156" t="str">
        <f aca="false">IF(OR(B435="",L435="Transfer"),"",IF(COUNTIFS($B$5:$B$604,B435,$H$5:$H$604,EDATE(H435,-1),$C$5:$C$604,"&gt;="&amp;C435*0.85,$C$5:$C$604,"&lt;="&amp;C435*1.15)&gt;0,"recurring",""))</f>
        <v/>
      </c>
      <c r="P435" s="157" t="str">
        <f aca="false">IF(B435="","",IF(COUNTIF(B435:$B$604,B435)=1,1,""))</f>
        <v/>
      </c>
      <c r="Q435" s="157" t="str">
        <f aca="false">IF(AND(O435="recurring",P435=1),COUNTIFS($O$5:O435,"recurring",$P$5:P435,1),"")</f>
        <v/>
      </c>
    </row>
    <row r="436" customFormat="false" ht="15" hidden="false" customHeight="false" outlineLevel="0" collapsed="false">
      <c r="A436" s="110"/>
      <c r="B436" s="108"/>
      <c r="C436" s="142"/>
      <c r="D436" s="108"/>
      <c r="E436" s="183" t="str">
        <f aca="false" t="array" ref="E436:E436">IF(B436="","",IFERROR(INDEX(Keywords!$B$5:$B$165,MAX(ISNUMBER(SEARCH(Keywords!$A$5:$A$165,B436))*(Keywords!$A$5:$A$165&lt;&gt;"")*ROW(Keywords!$A$5:$A$165))-4),""))</f>
        <v/>
      </c>
      <c r="F436" s="150" t="str">
        <f aca="false">IF(B436="","",IF(L436="Transfer","Transfer",IF(L436="Income","Income",IF(D436&lt;&gt;"",D436,IF(E436&lt;&gt;"",E436,"Uncategorized")))))</f>
        <v/>
      </c>
      <c r="G436" s="108"/>
      <c r="H436" s="184" t="str">
        <f aca="false">IF(A436="","",DATE(YEAR(A436),MONTH(A436),1))</f>
        <v/>
      </c>
      <c r="I436" s="185"/>
      <c r="J436" s="144"/>
      <c r="K436" s="159" t="str">
        <f aca="false">IF(C436="","",N(C436)/IF(N436&lt;&gt;"",N436,IF(J436="",1,IFERROR(INDEX(Setup!$C$23:$C$46,MATCH(J436,Setup!$A$23:$A$46,0)),1))))</f>
        <v/>
      </c>
      <c r="L436" s="144"/>
      <c r="M436" s="108"/>
      <c r="N436" s="111"/>
      <c r="O436" s="156" t="str">
        <f aca="false">IF(OR(B436="",L436="Transfer"),"",IF(COUNTIFS($B$5:$B$604,B436,$H$5:$H$604,EDATE(H436,-1),$C$5:$C$604,"&gt;="&amp;C436*0.85,$C$5:$C$604,"&lt;="&amp;C436*1.15)&gt;0,"recurring",""))</f>
        <v/>
      </c>
      <c r="P436" s="157" t="str">
        <f aca="false">IF(B436="","",IF(COUNTIF(B436:$B$604,B436)=1,1,""))</f>
        <v/>
      </c>
      <c r="Q436" s="157" t="str">
        <f aca="false">IF(AND(O436="recurring",P436=1),COUNTIFS($O$5:O436,"recurring",$P$5:P436,1),"")</f>
        <v/>
      </c>
    </row>
    <row r="437" customFormat="false" ht="15" hidden="false" customHeight="false" outlineLevel="0" collapsed="false">
      <c r="A437" s="110"/>
      <c r="B437" s="108"/>
      <c r="C437" s="142"/>
      <c r="D437" s="108"/>
      <c r="E437" s="183" t="str">
        <f aca="false" t="array" ref="E437:E437">IF(B437="","",IFERROR(INDEX(Keywords!$B$5:$B$165,MAX(ISNUMBER(SEARCH(Keywords!$A$5:$A$165,B437))*(Keywords!$A$5:$A$165&lt;&gt;"")*ROW(Keywords!$A$5:$A$165))-4),""))</f>
        <v/>
      </c>
      <c r="F437" s="150" t="str">
        <f aca="false">IF(B437="","",IF(L437="Transfer","Transfer",IF(L437="Income","Income",IF(D437&lt;&gt;"",D437,IF(E437&lt;&gt;"",E437,"Uncategorized")))))</f>
        <v/>
      </c>
      <c r="G437" s="108"/>
      <c r="H437" s="184" t="str">
        <f aca="false">IF(A437="","",DATE(YEAR(A437),MONTH(A437),1))</f>
        <v/>
      </c>
      <c r="I437" s="185"/>
      <c r="J437" s="144"/>
      <c r="K437" s="159" t="str">
        <f aca="false">IF(C437="","",N(C437)/IF(N437&lt;&gt;"",N437,IF(J437="",1,IFERROR(INDEX(Setup!$C$23:$C$46,MATCH(J437,Setup!$A$23:$A$46,0)),1))))</f>
        <v/>
      </c>
      <c r="L437" s="144"/>
      <c r="M437" s="108"/>
      <c r="N437" s="111"/>
      <c r="O437" s="156" t="str">
        <f aca="false">IF(OR(B437="",L437="Transfer"),"",IF(COUNTIFS($B$5:$B$604,B437,$H$5:$H$604,EDATE(H437,-1),$C$5:$C$604,"&gt;="&amp;C437*0.85,$C$5:$C$604,"&lt;="&amp;C437*1.15)&gt;0,"recurring",""))</f>
        <v/>
      </c>
      <c r="P437" s="157" t="str">
        <f aca="false">IF(B437="","",IF(COUNTIF(B437:$B$604,B437)=1,1,""))</f>
        <v/>
      </c>
      <c r="Q437" s="157" t="str">
        <f aca="false">IF(AND(O437="recurring",P437=1),COUNTIFS($O$5:O437,"recurring",$P$5:P437,1),"")</f>
        <v/>
      </c>
    </row>
    <row r="438" customFormat="false" ht="15" hidden="false" customHeight="false" outlineLevel="0" collapsed="false">
      <c r="A438" s="110"/>
      <c r="B438" s="108"/>
      <c r="C438" s="142"/>
      <c r="D438" s="108"/>
      <c r="E438" s="183" t="str">
        <f aca="false" t="array" ref="E438:E438">IF(B438="","",IFERROR(INDEX(Keywords!$B$5:$B$165,MAX(ISNUMBER(SEARCH(Keywords!$A$5:$A$165,B438))*(Keywords!$A$5:$A$165&lt;&gt;"")*ROW(Keywords!$A$5:$A$165))-4),""))</f>
        <v/>
      </c>
      <c r="F438" s="150" t="str">
        <f aca="false">IF(B438="","",IF(L438="Transfer","Transfer",IF(L438="Income","Income",IF(D438&lt;&gt;"",D438,IF(E438&lt;&gt;"",E438,"Uncategorized")))))</f>
        <v/>
      </c>
      <c r="G438" s="108"/>
      <c r="H438" s="184" t="str">
        <f aca="false">IF(A438="","",DATE(YEAR(A438),MONTH(A438),1))</f>
        <v/>
      </c>
      <c r="I438" s="185"/>
      <c r="J438" s="144"/>
      <c r="K438" s="159" t="str">
        <f aca="false">IF(C438="","",N(C438)/IF(N438&lt;&gt;"",N438,IF(J438="",1,IFERROR(INDEX(Setup!$C$23:$C$46,MATCH(J438,Setup!$A$23:$A$46,0)),1))))</f>
        <v/>
      </c>
      <c r="L438" s="144"/>
      <c r="M438" s="108"/>
      <c r="N438" s="111"/>
      <c r="O438" s="156" t="str">
        <f aca="false">IF(OR(B438="",L438="Transfer"),"",IF(COUNTIFS($B$5:$B$604,B438,$H$5:$H$604,EDATE(H438,-1),$C$5:$C$604,"&gt;="&amp;C438*0.85,$C$5:$C$604,"&lt;="&amp;C438*1.15)&gt;0,"recurring",""))</f>
        <v/>
      </c>
      <c r="P438" s="157" t="str">
        <f aca="false">IF(B438="","",IF(COUNTIF(B438:$B$604,B438)=1,1,""))</f>
        <v/>
      </c>
      <c r="Q438" s="157" t="str">
        <f aca="false">IF(AND(O438="recurring",P438=1),COUNTIFS($O$5:O438,"recurring",$P$5:P438,1),"")</f>
        <v/>
      </c>
    </row>
    <row r="439" customFormat="false" ht="15" hidden="false" customHeight="false" outlineLevel="0" collapsed="false">
      <c r="A439" s="110"/>
      <c r="B439" s="108"/>
      <c r="C439" s="142"/>
      <c r="D439" s="108"/>
      <c r="E439" s="183" t="str">
        <f aca="false" t="array" ref="E439:E439">IF(B439="","",IFERROR(INDEX(Keywords!$B$5:$B$165,MAX(ISNUMBER(SEARCH(Keywords!$A$5:$A$165,B439))*(Keywords!$A$5:$A$165&lt;&gt;"")*ROW(Keywords!$A$5:$A$165))-4),""))</f>
        <v/>
      </c>
      <c r="F439" s="150" t="str">
        <f aca="false">IF(B439="","",IF(L439="Transfer","Transfer",IF(L439="Income","Income",IF(D439&lt;&gt;"",D439,IF(E439&lt;&gt;"",E439,"Uncategorized")))))</f>
        <v/>
      </c>
      <c r="G439" s="108"/>
      <c r="H439" s="184" t="str">
        <f aca="false">IF(A439="","",DATE(YEAR(A439),MONTH(A439),1))</f>
        <v/>
      </c>
      <c r="I439" s="185"/>
      <c r="J439" s="144"/>
      <c r="K439" s="159" t="str">
        <f aca="false">IF(C439="","",N(C439)/IF(N439&lt;&gt;"",N439,IF(J439="",1,IFERROR(INDEX(Setup!$C$23:$C$46,MATCH(J439,Setup!$A$23:$A$46,0)),1))))</f>
        <v/>
      </c>
      <c r="L439" s="144"/>
      <c r="M439" s="108"/>
      <c r="N439" s="111"/>
      <c r="O439" s="156" t="str">
        <f aca="false">IF(OR(B439="",L439="Transfer"),"",IF(COUNTIFS($B$5:$B$604,B439,$H$5:$H$604,EDATE(H439,-1),$C$5:$C$604,"&gt;="&amp;C439*0.85,$C$5:$C$604,"&lt;="&amp;C439*1.15)&gt;0,"recurring",""))</f>
        <v/>
      </c>
      <c r="P439" s="157" t="str">
        <f aca="false">IF(B439="","",IF(COUNTIF(B439:$B$604,B439)=1,1,""))</f>
        <v/>
      </c>
      <c r="Q439" s="157" t="str">
        <f aca="false">IF(AND(O439="recurring",P439=1),COUNTIFS($O$5:O439,"recurring",$P$5:P439,1),"")</f>
        <v/>
      </c>
    </row>
    <row r="440" customFormat="false" ht="15" hidden="false" customHeight="false" outlineLevel="0" collapsed="false">
      <c r="A440" s="110"/>
      <c r="B440" s="108"/>
      <c r="C440" s="142"/>
      <c r="D440" s="108"/>
      <c r="E440" s="183" t="str">
        <f aca="false" t="array" ref="E440:E440">IF(B440="","",IFERROR(INDEX(Keywords!$B$5:$B$165,MAX(ISNUMBER(SEARCH(Keywords!$A$5:$A$165,B440))*(Keywords!$A$5:$A$165&lt;&gt;"")*ROW(Keywords!$A$5:$A$165))-4),""))</f>
        <v/>
      </c>
      <c r="F440" s="150" t="str">
        <f aca="false">IF(B440="","",IF(L440="Transfer","Transfer",IF(L440="Income","Income",IF(D440&lt;&gt;"",D440,IF(E440&lt;&gt;"",E440,"Uncategorized")))))</f>
        <v/>
      </c>
      <c r="G440" s="108"/>
      <c r="H440" s="184" t="str">
        <f aca="false">IF(A440="","",DATE(YEAR(A440),MONTH(A440),1))</f>
        <v/>
      </c>
      <c r="I440" s="185"/>
      <c r="J440" s="144"/>
      <c r="K440" s="159" t="str">
        <f aca="false">IF(C440="","",N(C440)/IF(N440&lt;&gt;"",N440,IF(J440="",1,IFERROR(INDEX(Setup!$C$23:$C$46,MATCH(J440,Setup!$A$23:$A$46,0)),1))))</f>
        <v/>
      </c>
      <c r="L440" s="144"/>
      <c r="M440" s="108"/>
      <c r="N440" s="111"/>
      <c r="O440" s="156" t="str">
        <f aca="false">IF(OR(B440="",L440="Transfer"),"",IF(COUNTIFS($B$5:$B$604,B440,$H$5:$H$604,EDATE(H440,-1),$C$5:$C$604,"&gt;="&amp;C440*0.85,$C$5:$C$604,"&lt;="&amp;C440*1.15)&gt;0,"recurring",""))</f>
        <v/>
      </c>
      <c r="P440" s="157" t="str">
        <f aca="false">IF(B440="","",IF(COUNTIF(B440:$B$604,B440)=1,1,""))</f>
        <v/>
      </c>
      <c r="Q440" s="157" t="str">
        <f aca="false">IF(AND(O440="recurring",P440=1),COUNTIFS($O$5:O440,"recurring",$P$5:P440,1),"")</f>
        <v/>
      </c>
    </row>
    <row r="441" customFormat="false" ht="15" hidden="false" customHeight="false" outlineLevel="0" collapsed="false">
      <c r="A441" s="110"/>
      <c r="B441" s="108"/>
      <c r="C441" s="142"/>
      <c r="D441" s="108"/>
      <c r="E441" s="183" t="str">
        <f aca="false" t="array" ref="E441:E441">IF(B441="","",IFERROR(INDEX(Keywords!$B$5:$B$165,MAX(ISNUMBER(SEARCH(Keywords!$A$5:$A$165,B441))*(Keywords!$A$5:$A$165&lt;&gt;"")*ROW(Keywords!$A$5:$A$165))-4),""))</f>
        <v/>
      </c>
      <c r="F441" s="150" t="str">
        <f aca="false">IF(B441="","",IF(L441="Transfer","Transfer",IF(L441="Income","Income",IF(D441&lt;&gt;"",D441,IF(E441&lt;&gt;"",E441,"Uncategorized")))))</f>
        <v/>
      </c>
      <c r="G441" s="108"/>
      <c r="H441" s="184" t="str">
        <f aca="false">IF(A441="","",DATE(YEAR(A441),MONTH(A441),1))</f>
        <v/>
      </c>
      <c r="I441" s="185"/>
      <c r="J441" s="144"/>
      <c r="K441" s="159" t="str">
        <f aca="false">IF(C441="","",N(C441)/IF(N441&lt;&gt;"",N441,IF(J441="",1,IFERROR(INDEX(Setup!$C$23:$C$46,MATCH(J441,Setup!$A$23:$A$46,0)),1))))</f>
        <v/>
      </c>
      <c r="L441" s="144"/>
      <c r="M441" s="108"/>
      <c r="N441" s="111"/>
      <c r="O441" s="156" t="str">
        <f aca="false">IF(OR(B441="",L441="Transfer"),"",IF(COUNTIFS($B$5:$B$604,B441,$H$5:$H$604,EDATE(H441,-1),$C$5:$C$604,"&gt;="&amp;C441*0.85,$C$5:$C$604,"&lt;="&amp;C441*1.15)&gt;0,"recurring",""))</f>
        <v/>
      </c>
      <c r="P441" s="157" t="str">
        <f aca="false">IF(B441="","",IF(COUNTIF(B441:$B$604,B441)=1,1,""))</f>
        <v/>
      </c>
      <c r="Q441" s="157" t="str">
        <f aca="false">IF(AND(O441="recurring",P441=1),COUNTIFS($O$5:O441,"recurring",$P$5:P441,1),"")</f>
        <v/>
      </c>
    </row>
    <row r="442" customFormat="false" ht="15" hidden="false" customHeight="false" outlineLevel="0" collapsed="false">
      <c r="A442" s="110"/>
      <c r="B442" s="108"/>
      <c r="C442" s="142"/>
      <c r="D442" s="108"/>
      <c r="E442" s="183" t="str">
        <f aca="false" t="array" ref="E442:E442">IF(B442="","",IFERROR(INDEX(Keywords!$B$5:$B$165,MAX(ISNUMBER(SEARCH(Keywords!$A$5:$A$165,B442))*(Keywords!$A$5:$A$165&lt;&gt;"")*ROW(Keywords!$A$5:$A$165))-4),""))</f>
        <v/>
      </c>
      <c r="F442" s="150" t="str">
        <f aca="false">IF(B442="","",IF(L442="Transfer","Transfer",IF(L442="Income","Income",IF(D442&lt;&gt;"",D442,IF(E442&lt;&gt;"",E442,"Uncategorized")))))</f>
        <v/>
      </c>
      <c r="G442" s="108"/>
      <c r="H442" s="184" t="str">
        <f aca="false">IF(A442="","",DATE(YEAR(A442),MONTH(A442),1))</f>
        <v/>
      </c>
      <c r="I442" s="185"/>
      <c r="J442" s="144"/>
      <c r="K442" s="159" t="str">
        <f aca="false">IF(C442="","",N(C442)/IF(N442&lt;&gt;"",N442,IF(J442="",1,IFERROR(INDEX(Setup!$C$23:$C$46,MATCH(J442,Setup!$A$23:$A$46,0)),1))))</f>
        <v/>
      </c>
      <c r="L442" s="144"/>
      <c r="M442" s="108"/>
      <c r="N442" s="111"/>
      <c r="O442" s="156" t="str">
        <f aca="false">IF(OR(B442="",L442="Transfer"),"",IF(COUNTIFS($B$5:$B$604,B442,$H$5:$H$604,EDATE(H442,-1),$C$5:$C$604,"&gt;="&amp;C442*0.85,$C$5:$C$604,"&lt;="&amp;C442*1.15)&gt;0,"recurring",""))</f>
        <v/>
      </c>
      <c r="P442" s="157" t="str">
        <f aca="false">IF(B442="","",IF(COUNTIF(B442:$B$604,B442)=1,1,""))</f>
        <v/>
      </c>
      <c r="Q442" s="157" t="str">
        <f aca="false">IF(AND(O442="recurring",P442=1),COUNTIFS($O$5:O442,"recurring",$P$5:P442,1),"")</f>
        <v/>
      </c>
    </row>
    <row r="443" customFormat="false" ht="15" hidden="false" customHeight="false" outlineLevel="0" collapsed="false">
      <c r="A443" s="110"/>
      <c r="B443" s="108"/>
      <c r="C443" s="142"/>
      <c r="D443" s="108"/>
      <c r="E443" s="183" t="str">
        <f aca="false" t="array" ref="E443:E443">IF(B443="","",IFERROR(INDEX(Keywords!$B$5:$B$165,MAX(ISNUMBER(SEARCH(Keywords!$A$5:$A$165,B443))*(Keywords!$A$5:$A$165&lt;&gt;"")*ROW(Keywords!$A$5:$A$165))-4),""))</f>
        <v/>
      </c>
      <c r="F443" s="150" t="str">
        <f aca="false">IF(B443="","",IF(L443="Transfer","Transfer",IF(L443="Income","Income",IF(D443&lt;&gt;"",D443,IF(E443&lt;&gt;"",E443,"Uncategorized")))))</f>
        <v/>
      </c>
      <c r="G443" s="108"/>
      <c r="H443" s="184" t="str">
        <f aca="false">IF(A443="","",DATE(YEAR(A443),MONTH(A443),1))</f>
        <v/>
      </c>
      <c r="I443" s="185"/>
      <c r="J443" s="144"/>
      <c r="K443" s="159" t="str">
        <f aca="false">IF(C443="","",N(C443)/IF(N443&lt;&gt;"",N443,IF(J443="",1,IFERROR(INDEX(Setup!$C$23:$C$46,MATCH(J443,Setup!$A$23:$A$46,0)),1))))</f>
        <v/>
      </c>
      <c r="L443" s="144"/>
      <c r="M443" s="108"/>
      <c r="N443" s="111"/>
      <c r="O443" s="156" t="str">
        <f aca="false">IF(OR(B443="",L443="Transfer"),"",IF(COUNTIFS($B$5:$B$604,B443,$H$5:$H$604,EDATE(H443,-1),$C$5:$C$604,"&gt;="&amp;C443*0.85,$C$5:$C$604,"&lt;="&amp;C443*1.15)&gt;0,"recurring",""))</f>
        <v/>
      </c>
      <c r="P443" s="157" t="str">
        <f aca="false">IF(B443="","",IF(COUNTIF(B443:$B$604,B443)=1,1,""))</f>
        <v/>
      </c>
      <c r="Q443" s="157" t="str">
        <f aca="false">IF(AND(O443="recurring",P443=1),COUNTIFS($O$5:O443,"recurring",$P$5:P443,1),"")</f>
        <v/>
      </c>
    </row>
    <row r="444" customFormat="false" ht="15" hidden="false" customHeight="false" outlineLevel="0" collapsed="false">
      <c r="A444" s="110"/>
      <c r="B444" s="108"/>
      <c r="C444" s="142"/>
      <c r="D444" s="108"/>
      <c r="E444" s="183" t="str">
        <f aca="false" t="array" ref="E444:E444">IF(B444="","",IFERROR(INDEX(Keywords!$B$5:$B$165,MAX(ISNUMBER(SEARCH(Keywords!$A$5:$A$165,B444))*(Keywords!$A$5:$A$165&lt;&gt;"")*ROW(Keywords!$A$5:$A$165))-4),""))</f>
        <v/>
      </c>
      <c r="F444" s="150" t="str">
        <f aca="false">IF(B444="","",IF(L444="Transfer","Transfer",IF(L444="Income","Income",IF(D444&lt;&gt;"",D444,IF(E444&lt;&gt;"",E444,"Uncategorized")))))</f>
        <v/>
      </c>
      <c r="G444" s="108"/>
      <c r="H444" s="184" t="str">
        <f aca="false">IF(A444="","",DATE(YEAR(A444),MONTH(A444),1))</f>
        <v/>
      </c>
      <c r="I444" s="185"/>
      <c r="J444" s="144"/>
      <c r="K444" s="159" t="str">
        <f aca="false">IF(C444="","",N(C444)/IF(N444&lt;&gt;"",N444,IF(J444="",1,IFERROR(INDEX(Setup!$C$23:$C$46,MATCH(J444,Setup!$A$23:$A$46,0)),1))))</f>
        <v/>
      </c>
      <c r="L444" s="144"/>
      <c r="M444" s="108"/>
      <c r="N444" s="111"/>
      <c r="O444" s="156" t="str">
        <f aca="false">IF(OR(B444="",L444="Transfer"),"",IF(COUNTIFS($B$5:$B$604,B444,$H$5:$H$604,EDATE(H444,-1),$C$5:$C$604,"&gt;="&amp;C444*0.85,$C$5:$C$604,"&lt;="&amp;C444*1.15)&gt;0,"recurring",""))</f>
        <v/>
      </c>
      <c r="P444" s="157" t="str">
        <f aca="false">IF(B444="","",IF(COUNTIF(B444:$B$604,B444)=1,1,""))</f>
        <v/>
      </c>
      <c r="Q444" s="157" t="str">
        <f aca="false">IF(AND(O444="recurring",P444=1),COUNTIFS($O$5:O444,"recurring",$P$5:P444,1),"")</f>
        <v/>
      </c>
    </row>
    <row r="445" customFormat="false" ht="15" hidden="false" customHeight="false" outlineLevel="0" collapsed="false">
      <c r="A445" s="110"/>
      <c r="B445" s="108"/>
      <c r="C445" s="142"/>
      <c r="D445" s="108"/>
      <c r="E445" s="183" t="str">
        <f aca="false" t="array" ref="E445:E445">IF(B445="","",IFERROR(INDEX(Keywords!$B$5:$B$165,MAX(ISNUMBER(SEARCH(Keywords!$A$5:$A$165,B445))*(Keywords!$A$5:$A$165&lt;&gt;"")*ROW(Keywords!$A$5:$A$165))-4),""))</f>
        <v/>
      </c>
      <c r="F445" s="150" t="str">
        <f aca="false">IF(B445="","",IF(L445="Transfer","Transfer",IF(L445="Income","Income",IF(D445&lt;&gt;"",D445,IF(E445&lt;&gt;"",E445,"Uncategorized")))))</f>
        <v/>
      </c>
      <c r="G445" s="108"/>
      <c r="H445" s="184" t="str">
        <f aca="false">IF(A445="","",DATE(YEAR(A445),MONTH(A445),1))</f>
        <v/>
      </c>
      <c r="I445" s="185"/>
      <c r="J445" s="144"/>
      <c r="K445" s="159" t="str">
        <f aca="false">IF(C445="","",N(C445)/IF(N445&lt;&gt;"",N445,IF(J445="",1,IFERROR(INDEX(Setup!$C$23:$C$46,MATCH(J445,Setup!$A$23:$A$46,0)),1))))</f>
        <v/>
      </c>
      <c r="L445" s="144"/>
      <c r="M445" s="108"/>
      <c r="N445" s="111"/>
      <c r="O445" s="156" t="str">
        <f aca="false">IF(OR(B445="",L445="Transfer"),"",IF(COUNTIFS($B$5:$B$604,B445,$H$5:$H$604,EDATE(H445,-1),$C$5:$C$604,"&gt;="&amp;C445*0.85,$C$5:$C$604,"&lt;="&amp;C445*1.15)&gt;0,"recurring",""))</f>
        <v/>
      </c>
      <c r="P445" s="157" t="str">
        <f aca="false">IF(B445="","",IF(COUNTIF(B445:$B$604,B445)=1,1,""))</f>
        <v/>
      </c>
      <c r="Q445" s="157" t="str">
        <f aca="false">IF(AND(O445="recurring",P445=1),COUNTIFS($O$5:O445,"recurring",$P$5:P445,1),"")</f>
        <v/>
      </c>
    </row>
    <row r="446" customFormat="false" ht="15" hidden="false" customHeight="false" outlineLevel="0" collapsed="false">
      <c r="A446" s="110"/>
      <c r="B446" s="108"/>
      <c r="C446" s="142"/>
      <c r="D446" s="108"/>
      <c r="E446" s="183" t="str">
        <f aca="false" t="array" ref="E446:E446">IF(B446="","",IFERROR(INDEX(Keywords!$B$5:$B$165,MAX(ISNUMBER(SEARCH(Keywords!$A$5:$A$165,B446))*(Keywords!$A$5:$A$165&lt;&gt;"")*ROW(Keywords!$A$5:$A$165))-4),""))</f>
        <v/>
      </c>
      <c r="F446" s="150" t="str">
        <f aca="false">IF(B446="","",IF(L446="Transfer","Transfer",IF(L446="Income","Income",IF(D446&lt;&gt;"",D446,IF(E446&lt;&gt;"",E446,"Uncategorized")))))</f>
        <v/>
      </c>
      <c r="G446" s="108"/>
      <c r="H446" s="184" t="str">
        <f aca="false">IF(A446="","",DATE(YEAR(A446),MONTH(A446),1))</f>
        <v/>
      </c>
      <c r="I446" s="185"/>
      <c r="J446" s="144"/>
      <c r="K446" s="159" t="str">
        <f aca="false">IF(C446="","",N(C446)/IF(N446&lt;&gt;"",N446,IF(J446="",1,IFERROR(INDEX(Setup!$C$23:$C$46,MATCH(J446,Setup!$A$23:$A$46,0)),1))))</f>
        <v/>
      </c>
      <c r="L446" s="144"/>
      <c r="M446" s="108"/>
      <c r="N446" s="111"/>
      <c r="O446" s="156" t="str">
        <f aca="false">IF(OR(B446="",L446="Transfer"),"",IF(COUNTIFS($B$5:$B$604,B446,$H$5:$H$604,EDATE(H446,-1),$C$5:$C$604,"&gt;="&amp;C446*0.85,$C$5:$C$604,"&lt;="&amp;C446*1.15)&gt;0,"recurring",""))</f>
        <v/>
      </c>
      <c r="P446" s="157" t="str">
        <f aca="false">IF(B446="","",IF(COUNTIF(B446:$B$604,B446)=1,1,""))</f>
        <v/>
      </c>
      <c r="Q446" s="157" t="str">
        <f aca="false">IF(AND(O446="recurring",P446=1),COUNTIFS($O$5:O446,"recurring",$P$5:P446,1),"")</f>
        <v/>
      </c>
    </row>
    <row r="447" customFormat="false" ht="15" hidden="false" customHeight="false" outlineLevel="0" collapsed="false">
      <c r="A447" s="110"/>
      <c r="B447" s="108"/>
      <c r="C447" s="142"/>
      <c r="D447" s="108"/>
      <c r="E447" s="183" t="str">
        <f aca="false" t="array" ref="E447:E447">IF(B447="","",IFERROR(INDEX(Keywords!$B$5:$B$165,MAX(ISNUMBER(SEARCH(Keywords!$A$5:$A$165,B447))*(Keywords!$A$5:$A$165&lt;&gt;"")*ROW(Keywords!$A$5:$A$165))-4),""))</f>
        <v/>
      </c>
      <c r="F447" s="150" t="str">
        <f aca="false">IF(B447="","",IF(L447="Transfer","Transfer",IF(L447="Income","Income",IF(D447&lt;&gt;"",D447,IF(E447&lt;&gt;"",E447,"Uncategorized")))))</f>
        <v/>
      </c>
      <c r="G447" s="108"/>
      <c r="H447" s="184" t="str">
        <f aca="false">IF(A447="","",DATE(YEAR(A447),MONTH(A447),1))</f>
        <v/>
      </c>
      <c r="I447" s="185"/>
      <c r="J447" s="144"/>
      <c r="K447" s="159" t="str">
        <f aca="false">IF(C447="","",N(C447)/IF(N447&lt;&gt;"",N447,IF(J447="",1,IFERROR(INDEX(Setup!$C$23:$C$46,MATCH(J447,Setup!$A$23:$A$46,0)),1))))</f>
        <v/>
      </c>
      <c r="L447" s="144"/>
      <c r="M447" s="108"/>
      <c r="N447" s="111"/>
      <c r="O447" s="156" t="str">
        <f aca="false">IF(OR(B447="",L447="Transfer"),"",IF(COUNTIFS($B$5:$B$604,B447,$H$5:$H$604,EDATE(H447,-1),$C$5:$C$604,"&gt;="&amp;C447*0.85,$C$5:$C$604,"&lt;="&amp;C447*1.15)&gt;0,"recurring",""))</f>
        <v/>
      </c>
      <c r="P447" s="157" t="str">
        <f aca="false">IF(B447="","",IF(COUNTIF(B447:$B$604,B447)=1,1,""))</f>
        <v/>
      </c>
      <c r="Q447" s="157" t="str">
        <f aca="false">IF(AND(O447="recurring",P447=1),COUNTIFS($O$5:O447,"recurring",$P$5:P447,1),"")</f>
        <v/>
      </c>
    </row>
    <row r="448" customFormat="false" ht="15" hidden="false" customHeight="false" outlineLevel="0" collapsed="false">
      <c r="A448" s="110"/>
      <c r="B448" s="108"/>
      <c r="C448" s="142"/>
      <c r="D448" s="108"/>
      <c r="E448" s="183" t="str">
        <f aca="false" t="array" ref="E448:E448">IF(B448="","",IFERROR(INDEX(Keywords!$B$5:$B$165,MAX(ISNUMBER(SEARCH(Keywords!$A$5:$A$165,B448))*(Keywords!$A$5:$A$165&lt;&gt;"")*ROW(Keywords!$A$5:$A$165))-4),""))</f>
        <v/>
      </c>
      <c r="F448" s="150" t="str">
        <f aca="false">IF(B448="","",IF(L448="Transfer","Transfer",IF(L448="Income","Income",IF(D448&lt;&gt;"",D448,IF(E448&lt;&gt;"",E448,"Uncategorized")))))</f>
        <v/>
      </c>
      <c r="G448" s="108"/>
      <c r="H448" s="184" t="str">
        <f aca="false">IF(A448="","",DATE(YEAR(A448),MONTH(A448),1))</f>
        <v/>
      </c>
      <c r="I448" s="185"/>
      <c r="J448" s="144"/>
      <c r="K448" s="159" t="str">
        <f aca="false">IF(C448="","",N(C448)/IF(N448&lt;&gt;"",N448,IF(J448="",1,IFERROR(INDEX(Setup!$C$23:$C$46,MATCH(J448,Setup!$A$23:$A$46,0)),1))))</f>
        <v/>
      </c>
      <c r="L448" s="144"/>
      <c r="M448" s="108"/>
      <c r="N448" s="111"/>
      <c r="O448" s="156" t="str">
        <f aca="false">IF(OR(B448="",L448="Transfer"),"",IF(COUNTIFS($B$5:$B$604,B448,$H$5:$H$604,EDATE(H448,-1),$C$5:$C$604,"&gt;="&amp;C448*0.85,$C$5:$C$604,"&lt;="&amp;C448*1.15)&gt;0,"recurring",""))</f>
        <v/>
      </c>
      <c r="P448" s="157" t="str">
        <f aca="false">IF(B448="","",IF(COUNTIF(B448:$B$604,B448)=1,1,""))</f>
        <v/>
      </c>
      <c r="Q448" s="157" t="str">
        <f aca="false">IF(AND(O448="recurring",P448=1),COUNTIFS($O$5:O448,"recurring",$P$5:P448,1),"")</f>
        <v/>
      </c>
    </row>
    <row r="449" customFormat="false" ht="15" hidden="false" customHeight="false" outlineLevel="0" collapsed="false">
      <c r="A449" s="110"/>
      <c r="B449" s="108"/>
      <c r="C449" s="142"/>
      <c r="D449" s="108"/>
      <c r="E449" s="183" t="str">
        <f aca="false" t="array" ref="E449:E449">IF(B449="","",IFERROR(INDEX(Keywords!$B$5:$B$165,MAX(ISNUMBER(SEARCH(Keywords!$A$5:$A$165,B449))*(Keywords!$A$5:$A$165&lt;&gt;"")*ROW(Keywords!$A$5:$A$165))-4),""))</f>
        <v/>
      </c>
      <c r="F449" s="150" t="str">
        <f aca="false">IF(B449="","",IF(L449="Transfer","Transfer",IF(L449="Income","Income",IF(D449&lt;&gt;"",D449,IF(E449&lt;&gt;"",E449,"Uncategorized")))))</f>
        <v/>
      </c>
      <c r="G449" s="108"/>
      <c r="H449" s="184" t="str">
        <f aca="false">IF(A449="","",DATE(YEAR(A449),MONTH(A449),1))</f>
        <v/>
      </c>
      <c r="I449" s="185"/>
      <c r="J449" s="144"/>
      <c r="K449" s="159" t="str">
        <f aca="false">IF(C449="","",N(C449)/IF(N449&lt;&gt;"",N449,IF(J449="",1,IFERROR(INDEX(Setup!$C$23:$C$46,MATCH(J449,Setup!$A$23:$A$46,0)),1))))</f>
        <v/>
      </c>
      <c r="L449" s="144"/>
      <c r="M449" s="108"/>
      <c r="N449" s="111"/>
      <c r="O449" s="156" t="str">
        <f aca="false">IF(OR(B449="",L449="Transfer"),"",IF(COUNTIFS($B$5:$B$604,B449,$H$5:$H$604,EDATE(H449,-1),$C$5:$C$604,"&gt;="&amp;C449*0.85,$C$5:$C$604,"&lt;="&amp;C449*1.15)&gt;0,"recurring",""))</f>
        <v/>
      </c>
      <c r="P449" s="157" t="str">
        <f aca="false">IF(B449="","",IF(COUNTIF(B449:$B$604,B449)=1,1,""))</f>
        <v/>
      </c>
      <c r="Q449" s="157" t="str">
        <f aca="false">IF(AND(O449="recurring",P449=1),COUNTIFS($O$5:O449,"recurring",$P$5:P449,1),"")</f>
        <v/>
      </c>
    </row>
    <row r="450" customFormat="false" ht="15" hidden="false" customHeight="false" outlineLevel="0" collapsed="false">
      <c r="A450" s="110"/>
      <c r="B450" s="108"/>
      <c r="C450" s="142"/>
      <c r="D450" s="108"/>
      <c r="E450" s="183" t="str">
        <f aca="false" t="array" ref="E450:E450">IF(B450="","",IFERROR(INDEX(Keywords!$B$5:$B$165,MAX(ISNUMBER(SEARCH(Keywords!$A$5:$A$165,B450))*(Keywords!$A$5:$A$165&lt;&gt;"")*ROW(Keywords!$A$5:$A$165))-4),""))</f>
        <v/>
      </c>
      <c r="F450" s="150" t="str">
        <f aca="false">IF(B450="","",IF(L450="Transfer","Transfer",IF(L450="Income","Income",IF(D450&lt;&gt;"",D450,IF(E450&lt;&gt;"",E450,"Uncategorized")))))</f>
        <v/>
      </c>
      <c r="G450" s="108"/>
      <c r="H450" s="184" t="str">
        <f aca="false">IF(A450="","",DATE(YEAR(A450),MONTH(A450),1))</f>
        <v/>
      </c>
      <c r="I450" s="185"/>
      <c r="J450" s="144"/>
      <c r="K450" s="159" t="str">
        <f aca="false">IF(C450="","",N(C450)/IF(N450&lt;&gt;"",N450,IF(J450="",1,IFERROR(INDEX(Setup!$C$23:$C$46,MATCH(J450,Setup!$A$23:$A$46,0)),1))))</f>
        <v/>
      </c>
      <c r="L450" s="144"/>
      <c r="M450" s="108"/>
      <c r="N450" s="111"/>
      <c r="O450" s="156" t="str">
        <f aca="false">IF(OR(B450="",L450="Transfer"),"",IF(COUNTIFS($B$5:$B$604,B450,$H$5:$H$604,EDATE(H450,-1),$C$5:$C$604,"&gt;="&amp;C450*0.85,$C$5:$C$604,"&lt;="&amp;C450*1.15)&gt;0,"recurring",""))</f>
        <v/>
      </c>
      <c r="P450" s="157" t="str">
        <f aca="false">IF(B450="","",IF(COUNTIF(B450:$B$604,B450)=1,1,""))</f>
        <v/>
      </c>
      <c r="Q450" s="157" t="str">
        <f aca="false">IF(AND(O450="recurring",P450=1),COUNTIFS($O$5:O450,"recurring",$P$5:P450,1),"")</f>
        <v/>
      </c>
    </row>
    <row r="451" customFormat="false" ht="15" hidden="false" customHeight="false" outlineLevel="0" collapsed="false">
      <c r="A451" s="110"/>
      <c r="B451" s="108"/>
      <c r="C451" s="142"/>
      <c r="D451" s="108"/>
      <c r="E451" s="183" t="str">
        <f aca="false" t="array" ref="E451:E451">IF(B451="","",IFERROR(INDEX(Keywords!$B$5:$B$165,MAX(ISNUMBER(SEARCH(Keywords!$A$5:$A$165,B451))*(Keywords!$A$5:$A$165&lt;&gt;"")*ROW(Keywords!$A$5:$A$165))-4),""))</f>
        <v/>
      </c>
      <c r="F451" s="150" t="str">
        <f aca="false">IF(B451="","",IF(L451="Transfer","Transfer",IF(L451="Income","Income",IF(D451&lt;&gt;"",D451,IF(E451&lt;&gt;"",E451,"Uncategorized")))))</f>
        <v/>
      </c>
      <c r="G451" s="108"/>
      <c r="H451" s="184" t="str">
        <f aca="false">IF(A451="","",DATE(YEAR(A451),MONTH(A451),1))</f>
        <v/>
      </c>
      <c r="I451" s="185"/>
      <c r="J451" s="144"/>
      <c r="K451" s="159" t="str">
        <f aca="false">IF(C451="","",N(C451)/IF(N451&lt;&gt;"",N451,IF(J451="",1,IFERROR(INDEX(Setup!$C$23:$C$46,MATCH(J451,Setup!$A$23:$A$46,0)),1))))</f>
        <v/>
      </c>
      <c r="L451" s="144"/>
      <c r="M451" s="108"/>
      <c r="N451" s="111"/>
      <c r="O451" s="156" t="str">
        <f aca="false">IF(OR(B451="",L451="Transfer"),"",IF(COUNTIFS($B$5:$B$604,B451,$H$5:$H$604,EDATE(H451,-1),$C$5:$C$604,"&gt;="&amp;C451*0.85,$C$5:$C$604,"&lt;="&amp;C451*1.15)&gt;0,"recurring",""))</f>
        <v/>
      </c>
      <c r="P451" s="157" t="str">
        <f aca="false">IF(B451="","",IF(COUNTIF(B451:$B$604,B451)=1,1,""))</f>
        <v/>
      </c>
      <c r="Q451" s="157" t="str">
        <f aca="false">IF(AND(O451="recurring",P451=1),COUNTIFS($O$5:O451,"recurring",$P$5:P451,1),"")</f>
        <v/>
      </c>
    </row>
    <row r="452" customFormat="false" ht="15" hidden="false" customHeight="false" outlineLevel="0" collapsed="false">
      <c r="A452" s="110"/>
      <c r="B452" s="108"/>
      <c r="C452" s="142"/>
      <c r="D452" s="108"/>
      <c r="E452" s="183" t="str">
        <f aca="false" t="array" ref="E452:E452">IF(B452="","",IFERROR(INDEX(Keywords!$B$5:$B$165,MAX(ISNUMBER(SEARCH(Keywords!$A$5:$A$165,B452))*(Keywords!$A$5:$A$165&lt;&gt;"")*ROW(Keywords!$A$5:$A$165))-4),""))</f>
        <v/>
      </c>
      <c r="F452" s="150" t="str">
        <f aca="false">IF(B452="","",IF(L452="Transfer","Transfer",IF(L452="Income","Income",IF(D452&lt;&gt;"",D452,IF(E452&lt;&gt;"",E452,"Uncategorized")))))</f>
        <v/>
      </c>
      <c r="G452" s="108"/>
      <c r="H452" s="184" t="str">
        <f aca="false">IF(A452="","",DATE(YEAR(A452),MONTH(A452),1))</f>
        <v/>
      </c>
      <c r="I452" s="185"/>
      <c r="J452" s="144"/>
      <c r="K452" s="159" t="str">
        <f aca="false">IF(C452="","",N(C452)/IF(N452&lt;&gt;"",N452,IF(J452="",1,IFERROR(INDEX(Setup!$C$23:$C$46,MATCH(J452,Setup!$A$23:$A$46,0)),1))))</f>
        <v/>
      </c>
      <c r="L452" s="144"/>
      <c r="M452" s="108"/>
      <c r="N452" s="111"/>
      <c r="O452" s="156" t="str">
        <f aca="false">IF(OR(B452="",L452="Transfer"),"",IF(COUNTIFS($B$5:$B$604,B452,$H$5:$H$604,EDATE(H452,-1),$C$5:$C$604,"&gt;="&amp;C452*0.85,$C$5:$C$604,"&lt;="&amp;C452*1.15)&gt;0,"recurring",""))</f>
        <v/>
      </c>
      <c r="P452" s="157" t="str">
        <f aca="false">IF(B452="","",IF(COUNTIF(B452:$B$604,B452)=1,1,""))</f>
        <v/>
      </c>
      <c r="Q452" s="157" t="str">
        <f aca="false">IF(AND(O452="recurring",P452=1),COUNTIFS($O$5:O452,"recurring",$P$5:P452,1),"")</f>
        <v/>
      </c>
    </row>
    <row r="453" customFormat="false" ht="15" hidden="false" customHeight="false" outlineLevel="0" collapsed="false">
      <c r="A453" s="110"/>
      <c r="B453" s="108"/>
      <c r="C453" s="142"/>
      <c r="D453" s="108"/>
      <c r="E453" s="183" t="str">
        <f aca="false" t="array" ref="E453:E453">IF(B453="","",IFERROR(INDEX(Keywords!$B$5:$B$165,MAX(ISNUMBER(SEARCH(Keywords!$A$5:$A$165,B453))*(Keywords!$A$5:$A$165&lt;&gt;"")*ROW(Keywords!$A$5:$A$165))-4),""))</f>
        <v/>
      </c>
      <c r="F453" s="150" t="str">
        <f aca="false">IF(B453="","",IF(L453="Transfer","Transfer",IF(L453="Income","Income",IF(D453&lt;&gt;"",D453,IF(E453&lt;&gt;"",E453,"Uncategorized")))))</f>
        <v/>
      </c>
      <c r="G453" s="108"/>
      <c r="H453" s="184" t="str">
        <f aca="false">IF(A453="","",DATE(YEAR(A453),MONTH(A453),1))</f>
        <v/>
      </c>
      <c r="I453" s="185"/>
      <c r="J453" s="144"/>
      <c r="K453" s="159" t="str">
        <f aca="false">IF(C453="","",N(C453)/IF(N453&lt;&gt;"",N453,IF(J453="",1,IFERROR(INDEX(Setup!$C$23:$C$46,MATCH(J453,Setup!$A$23:$A$46,0)),1))))</f>
        <v/>
      </c>
      <c r="L453" s="144"/>
      <c r="M453" s="108"/>
      <c r="N453" s="111"/>
      <c r="O453" s="156" t="str">
        <f aca="false">IF(OR(B453="",L453="Transfer"),"",IF(COUNTIFS($B$5:$B$604,B453,$H$5:$H$604,EDATE(H453,-1),$C$5:$C$604,"&gt;="&amp;C453*0.85,$C$5:$C$604,"&lt;="&amp;C453*1.15)&gt;0,"recurring",""))</f>
        <v/>
      </c>
      <c r="P453" s="157" t="str">
        <f aca="false">IF(B453="","",IF(COUNTIF(B453:$B$604,B453)=1,1,""))</f>
        <v/>
      </c>
      <c r="Q453" s="157" t="str">
        <f aca="false">IF(AND(O453="recurring",P453=1),COUNTIFS($O$5:O453,"recurring",$P$5:P453,1),"")</f>
        <v/>
      </c>
    </row>
    <row r="454" customFormat="false" ht="15" hidden="false" customHeight="false" outlineLevel="0" collapsed="false">
      <c r="A454" s="110"/>
      <c r="B454" s="108"/>
      <c r="C454" s="142"/>
      <c r="D454" s="108"/>
      <c r="E454" s="183" t="str">
        <f aca="false" t="array" ref="E454:E454">IF(B454="","",IFERROR(INDEX(Keywords!$B$5:$B$165,MAX(ISNUMBER(SEARCH(Keywords!$A$5:$A$165,B454))*(Keywords!$A$5:$A$165&lt;&gt;"")*ROW(Keywords!$A$5:$A$165))-4),""))</f>
        <v/>
      </c>
      <c r="F454" s="150" t="str">
        <f aca="false">IF(B454="","",IF(L454="Transfer","Transfer",IF(L454="Income","Income",IF(D454&lt;&gt;"",D454,IF(E454&lt;&gt;"",E454,"Uncategorized")))))</f>
        <v/>
      </c>
      <c r="G454" s="108"/>
      <c r="H454" s="184" t="str">
        <f aca="false">IF(A454="","",DATE(YEAR(A454),MONTH(A454),1))</f>
        <v/>
      </c>
      <c r="I454" s="185"/>
      <c r="J454" s="144"/>
      <c r="K454" s="159" t="str">
        <f aca="false">IF(C454="","",N(C454)/IF(N454&lt;&gt;"",N454,IF(J454="",1,IFERROR(INDEX(Setup!$C$23:$C$46,MATCH(J454,Setup!$A$23:$A$46,0)),1))))</f>
        <v/>
      </c>
      <c r="L454" s="144"/>
      <c r="M454" s="108"/>
      <c r="N454" s="111"/>
      <c r="O454" s="156" t="str">
        <f aca="false">IF(OR(B454="",L454="Transfer"),"",IF(COUNTIFS($B$5:$B$604,B454,$H$5:$H$604,EDATE(H454,-1),$C$5:$C$604,"&gt;="&amp;C454*0.85,$C$5:$C$604,"&lt;="&amp;C454*1.15)&gt;0,"recurring",""))</f>
        <v/>
      </c>
      <c r="P454" s="157" t="str">
        <f aca="false">IF(B454="","",IF(COUNTIF(B454:$B$604,B454)=1,1,""))</f>
        <v/>
      </c>
      <c r="Q454" s="157" t="str">
        <f aca="false">IF(AND(O454="recurring",P454=1),COUNTIFS($O$5:O454,"recurring",$P$5:P454,1),"")</f>
        <v/>
      </c>
    </row>
    <row r="455" customFormat="false" ht="15" hidden="false" customHeight="false" outlineLevel="0" collapsed="false">
      <c r="A455" s="110"/>
      <c r="B455" s="108"/>
      <c r="C455" s="142"/>
      <c r="D455" s="108"/>
      <c r="E455" s="183" t="str">
        <f aca="false" t="array" ref="E455:E455">IF(B455="","",IFERROR(INDEX(Keywords!$B$5:$B$165,MAX(ISNUMBER(SEARCH(Keywords!$A$5:$A$165,B455))*(Keywords!$A$5:$A$165&lt;&gt;"")*ROW(Keywords!$A$5:$A$165))-4),""))</f>
        <v/>
      </c>
      <c r="F455" s="150" t="str">
        <f aca="false">IF(B455="","",IF(L455="Transfer","Transfer",IF(L455="Income","Income",IF(D455&lt;&gt;"",D455,IF(E455&lt;&gt;"",E455,"Uncategorized")))))</f>
        <v/>
      </c>
      <c r="G455" s="108"/>
      <c r="H455" s="184" t="str">
        <f aca="false">IF(A455="","",DATE(YEAR(A455),MONTH(A455),1))</f>
        <v/>
      </c>
      <c r="I455" s="185"/>
      <c r="J455" s="144"/>
      <c r="K455" s="159" t="str">
        <f aca="false">IF(C455="","",N(C455)/IF(N455&lt;&gt;"",N455,IF(J455="",1,IFERROR(INDEX(Setup!$C$23:$C$46,MATCH(J455,Setup!$A$23:$A$46,0)),1))))</f>
        <v/>
      </c>
      <c r="L455" s="144"/>
      <c r="M455" s="108"/>
      <c r="N455" s="111"/>
      <c r="O455" s="156" t="str">
        <f aca="false">IF(OR(B455="",L455="Transfer"),"",IF(COUNTIFS($B$5:$B$604,B455,$H$5:$H$604,EDATE(H455,-1),$C$5:$C$604,"&gt;="&amp;C455*0.85,$C$5:$C$604,"&lt;="&amp;C455*1.15)&gt;0,"recurring",""))</f>
        <v/>
      </c>
      <c r="P455" s="157" t="str">
        <f aca="false">IF(B455="","",IF(COUNTIF(B455:$B$604,B455)=1,1,""))</f>
        <v/>
      </c>
      <c r="Q455" s="157" t="str">
        <f aca="false">IF(AND(O455="recurring",P455=1),COUNTIFS($O$5:O455,"recurring",$P$5:P455,1),"")</f>
        <v/>
      </c>
    </row>
    <row r="456" customFormat="false" ht="15" hidden="false" customHeight="false" outlineLevel="0" collapsed="false">
      <c r="A456" s="110"/>
      <c r="B456" s="108"/>
      <c r="C456" s="142"/>
      <c r="D456" s="108"/>
      <c r="E456" s="183" t="str">
        <f aca="false" t="array" ref="E456:E456">IF(B456="","",IFERROR(INDEX(Keywords!$B$5:$B$165,MAX(ISNUMBER(SEARCH(Keywords!$A$5:$A$165,B456))*(Keywords!$A$5:$A$165&lt;&gt;"")*ROW(Keywords!$A$5:$A$165))-4),""))</f>
        <v/>
      </c>
      <c r="F456" s="150" t="str">
        <f aca="false">IF(B456="","",IF(L456="Transfer","Transfer",IF(L456="Income","Income",IF(D456&lt;&gt;"",D456,IF(E456&lt;&gt;"",E456,"Uncategorized")))))</f>
        <v/>
      </c>
      <c r="G456" s="108"/>
      <c r="H456" s="184" t="str">
        <f aca="false">IF(A456="","",DATE(YEAR(A456),MONTH(A456),1))</f>
        <v/>
      </c>
      <c r="I456" s="185"/>
      <c r="J456" s="144"/>
      <c r="K456" s="159" t="str">
        <f aca="false">IF(C456="","",N(C456)/IF(N456&lt;&gt;"",N456,IF(J456="",1,IFERROR(INDEX(Setup!$C$23:$C$46,MATCH(J456,Setup!$A$23:$A$46,0)),1))))</f>
        <v/>
      </c>
      <c r="L456" s="144"/>
      <c r="M456" s="108"/>
      <c r="N456" s="111"/>
      <c r="O456" s="156" t="str">
        <f aca="false">IF(OR(B456="",L456="Transfer"),"",IF(COUNTIFS($B$5:$B$604,B456,$H$5:$H$604,EDATE(H456,-1),$C$5:$C$604,"&gt;="&amp;C456*0.85,$C$5:$C$604,"&lt;="&amp;C456*1.15)&gt;0,"recurring",""))</f>
        <v/>
      </c>
      <c r="P456" s="157" t="str">
        <f aca="false">IF(B456="","",IF(COUNTIF(B456:$B$604,B456)=1,1,""))</f>
        <v/>
      </c>
      <c r="Q456" s="157" t="str">
        <f aca="false">IF(AND(O456="recurring",P456=1),COUNTIFS($O$5:O456,"recurring",$P$5:P456,1),"")</f>
        <v/>
      </c>
    </row>
    <row r="457" customFormat="false" ht="15" hidden="false" customHeight="false" outlineLevel="0" collapsed="false">
      <c r="A457" s="110"/>
      <c r="B457" s="108"/>
      <c r="C457" s="142"/>
      <c r="D457" s="108"/>
      <c r="E457" s="183" t="str">
        <f aca="false" t="array" ref="E457:E457">IF(B457="","",IFERROR(INDEX(Keywords!$B$5:$B$165,MAX(ISNUMBER(SEARCH(Keywords!$A$5:$A$165,B457))*(Keywords!$A$5:$A$165&lt;&gt;"")*ROW(Keywords!$A$5:$A$165))-4),""))</f>
        <v/>
      </c>
      <c r="F457" s="150" t="str">
        <f aca="false">IF(B457="","",IF(L457="Transfer","Transfer",IF(L457="Income","Income",IF(D457&lt;&gt;"",D457,IF(E457&lt;&gt;"",E457,"Uncategorized")))))</f>
        <v/>
      </c>
      <c r="G457" s="108"/>
      <c r="H457" s="184" t="str">
        <f aca="false">IF(A457="","",DATE(YEAR(A457),MONTH(A457),1))</f>
        <v/>
      </c>
      <c r="I457" s="185"/>
      <c r="J457" s="144"/>
      <c r="K457" s="159" t="str">
        <f aca="false">IF(C457="","",N(C457)/IF(N457&lt;&gt;"",N457,IF(J457="",1,IFERROR(INDEX(Setup!$C$23:$C$46,MATCH(J457,Setup!$A$23:$A$46,0)),1))))</f>
        <v/>
      </c>
      <c r="L457" s="144"/>
      <c r="M457" s="108"/>
      <c r="N457" s="111"/>
      <c r="O457" s="156" t="str">
        <f aca="false">IF(OR(B457="",L457="Transfer"),"",IF(COUNTIFS($B$5:$B$604,B457,$H$5:$H$604,EDATE(H457,-1),$C$5:$C$604,"&gt;="&amp;C457*0.85,$C$5:$C$604,"&lt;="&amp;C457*1.15)&gt;0,"recurring",""))</f>
        <v/>
      </c>
      <c r="P457" s="157" t="str">
        <f aca="false">IF(B457="","",IF(COUNTIF(B457:$B$604,B457)=1,1,""))</f>
        <v/>
      </c>
      <c r="Q457" s="157" t="str">
        <f aca="false">IF(AND(O457="recurring",P457=1),COUNTIFS($O$5:O457,"recurring",$P$5:P457,1),"")</f>
        <v/>
      </c>
    </row>
    <row r="458" customFormat="false" ht="15" hidden="false" customHeight="false" outlineLevel="0" collapsed="false">
      <c r="A458" s="110"/>
      <c r="B458" s="108"/>
      <c r="C458" s="142"/>
      <c r="D458" s="108"/>
      <c r="E458" s="183" t="str">
        <f aca="false" t="array" ref="E458:E458">IF(B458="","",IFERROR(INDEX(Keywords!$B$5:$B$165,MAX(ISNUMBER(SEARCH(Keywords!$A$5:$A$165,B458))*(Keywords!$A$5:$A$165&lt;&gt;"")*ROW(Keywords!$A$5:$A$165))-4),""))</f>
        <v/>
      </c>
      <c r="F458" s="150" t="str">
        <f aca="false">IF(B458="","",IF(L458="Transfer","Transfer",IF(L458="Income","Income",IF(D458&lt;&gt;"",D458,IF(E458&lt;&gt;"",E458,"Uncategorized")))))</f>
        <v/>
      </c>
      <c r="G458" s="108"/>
      <c r="H458" s="184" t="str">
        <f aca="false">IF(A458="","",DATE(YEAR(A458),MONTH(A458),1))</f>
        <v/>
      </c>
      <c r="I458" s="185"/>
      <c r="J458" s="144"/>
      <c r="K458" s="159" t="str">
        <f aca="false">IF(C458="","",N(C458)/IF(N458&lt;&gt;"",N458,IF(J458="",1,IFERROR(INDEX(Setup!$C$23:$C$46,MATCH(J458,Setup!$A$23:$A$46,0)),1))))</f>
        <v/>
      </c>
      <c r="L458" s="144"/>
      <c r="M458" s="108"/>
      <c r="N458" s="111"/>
      <c r="O458" s="156" t="str">
        <f aca="false">IF(OR(B458="",L458="Transfer"),"",IF(COUNTIFS($B$5:$B$604,B458,$H$5:$H$604,EDATE(H458,-1),$C$5:$C$604,"&gt;="&amp;C458*0.85,$C$5:$C$604,"&lt;="&amp;C458*1.15)&gt;0,"recurring",""))</f>
        <v/>
      </c>
      <c r="P458" s="157" t="str">
        <f aca="false">IF(B458="","",IF(COUNTIF(B458:$B$604,B458)=1,1,""))</f>
        <v/>
      </c>
      <c r="Q458" s="157" t="str">
        <f aca="false">IF(AND(O458="recurring",P458=1),COUNTIFS($O$5:O458,"recurring",$P$5:P458,1),"")</f>
        <v/>
      </c>
    </row>
    <row r="459" customFormat="false" ht="15" hidden="false" customHeight="false" outlineLevel="0" collapsed="false">
      <c r="A459" s="110"/>
      <c r="B459" s="108"/>
      <c r="C459" s="142"/>
      <c r="D459" s="108"/>
      <c r="E459" s="183" t="str">
        <f aca="false" t="array" ref="E459:E459">IF(B459="","",IFERROR(INDEX(Keywords!$B$5:$B$165,MAX(ISNUMBER(SEARCH(Keywords!$A$5:$A$165,B459))*(Keywords!$A$5:$A$165&lt;&gt;"")*ROW(Keywords!$A$5:$A$165))-4),""))</f>
        <v/>
      </c>
      <c r="F459" s="150" t="str">
        <f aca="false">IF(B459="","",IF(L459="Transfer","Transfer",IF(L459="Income","Income",IF(D459&lt;&gt;"",D459,IF(E459&lt;&gt;"",E459,"Uncategorized")))))</f>
        <v/>
      </c>
      <c r="G459" s="108"/>
      <c r="H459" s="184" t="str">
        <f aca="false">IF(A459="","",DATE(YEAR(A459),MONTH(A459),1))</f>
        <v/>
      </c>
      <c r="I459" s="185"/>
      <c r="J459" s="144"/>
      <c r="K459" s="159" t="str">
        <f aca="false">IF(C459="","",N(C459)/IF(N459&lt;&gt;"",N459,IF(J459="",1,IFERROR(INDEX(Setup!$C$23:$C$46,MATCH(J459,Setup!$A$23:$A$46,0)),1))))</f>
        <v/>
      </c>
      <c r="L459" s="144"/>
      <c r="M459" s="108"/>
      <c r="N459" s="111"/>
      <c r="O459" s="156" t="str">
        <f aca="false">IF(OR(B459="",L459="Transfer"),"",IF(COUNTIFS($B$5:$B$604,B459,$H$5:$H$604,EDATE(H459,-1),$C$5:$C$604,"&gt;="&amp;C459*0.85,$C$5:$C$604,"&lt;="&amp;C459*1.15)&gt;0,"recurring",""))</f>
        <v/>
      </c>
      <c r="P459" s="157" t="str">
        <f aca="false">IF(B459="","",IF(COUNTIF(B459:$B$604,B459)=1,1,""))</f>
        <v/>
      </c>
      <c r="Q459" s="157" t="str">
        <f aca="false">IF(AND(O459="recurring",P459=1),COUNTIFS($O$5:O459,"recurring",$P$5:P459,1),"")</f>
        <v/>
      </c>
    </row>
    <row r="460" customFormat="false" ht="15" hidden="false" customHeight="false" outlineLevel="0" collapsed="false">
      <c r="A460" s="110"/>
      <c r="B460" s="108"/>
      <c r="C460" s="142"/>
      <c r="D460" s="108"/>
      <c r="E460" s="183" t="str">
        <f aca="false" t="array" ref="E460:E460">IF(B460="","",IFERROR(INDEX(Keywords!$B$5:$B$165,MAX(ISNUMBER(SEARCH(Keywords!$A$5:$A$165,B460))*(Keywords!$A$5:$A$165&lt;&gt;"")*ROW(Keywords!$A$5:$A$165))-4),""))</f>
        <v/>
      </c>
      <c r="F460" s="150" t="str">
        <f aca="false">IF(B460="","",IF(L460="Transfer","Transfer",IF(L460="Income","Income",IF(D460&lt;&gt;"",D460,IF(E460&lt;&gt;"",E460,"Uncategorized")))))</f>
        <v/>
      </c>
      <c r="G460" s="108"/>
      <c r="H460" s="184" t="str">
        <f aca="false">IF(A460="","",DATE(YEAR(A460),MONTH(A460),1))</f>
        <v/>
      </c>
      <c r="I460" s="185"/>
      <c r="J460" s="144"/>
      <c r="K460" s="159" t="str">
        <f aca="false">IF(C460="","",N(C460)/IF(N460&lt;&gt;"",N460,IF(J460="",1,IFERROR(INDEX(Setup!$C$23:$C$46,MATCH(J460,Setup!$A$23:$A$46,0)),1))))</f>
        <v/>
      </c>
      <c r="L460" s="144"/>
      <c r="M460" s="108"/>
      <c r="N460" s="111"/>
      <c r="O460" s="156" t="str">
        <f aca="false">IF(OR(B460="",L460="Transfer"),"",IF(COUNTIFS($B$5:$B$604,B460,$H$5:$H$604,EDATE(H460,-1),$C$5:$C$604,"&gt;="&amp;C460*0.85,$C$5:$C$604,"&lt;="&amp;C460*1.15)&gt;0,"recurring",""))</f>
        <v/>
      </c>
      <c r="P460" s="157" t="str">
        <f aca="false">IF(B460="","",IF(COUNTIF(B460:$B$604,B460)=1,1,""))</f>
        <v/>
      </c>
      <c r="Q460" s="157" t="str">
        <f aca="false">IF(AND(O460="recurring",P460=1),COUNTIFS($O$5:O460,"recurring",$P$5:P460,1),"")</f>
        <v/>
      </c>
    </row>
    <row r="461" customFormat="false" ht="15" hidden="false" customHeight="false" outlineLevel="0" collapsed="false">
      <c r="A461" s="110"/>
      <c r="B461" s="108"/>
      <c r="C461" s="142"/>
      <c r="D461" s="108"/>
      <c r="E461" s="183" t="str">
        <f aca="false" t="array" ref="E461:E461">IF(B461="","",IFERROR(INDEX(Keywords!$B$5:$B$165,MAX(ISNUMBER(SEARCH(Keywords!$A$5:$A$165,B461))*(Keywords!$A$5:$A$165&lt;&gt;"")*ROW(Keywords!$A$5:$A$165))-4),""))</f>
        <v/>
      </c>
      <c r="F461" s="150" t="str">
        <f aca="false">IF(B461="","",IF(L461="Transfer","Transfer",IF(L461="Income","Income",IF(D461&lt;&gt;"",D461,IF(E461&lt;&gt;"",E461,"Uncategorized")))))</f>
        <v/>
      </c>
      <c r="G461" s="108"/>
      <c r="H461" s="184" t="str">
        <f aca="false">IF(A461="","",DATE(YEAR(A461),MONTH(A461),1))</f>
        <v/>
      </c>
      <c r="I461" s="185"/>
      <c r="J461" s="144"/>
      <c r="K461" s="159" t="str">
        <f aca="false">IF(C461="","",N(C461)/IF(N461&lt;&gt;"",N461,IF(J461="",1,IFERROR(INDEX(Setup!$C$23:$C$46,MATCH(J461,Setup!$A$23:$A$46,0)),1))))</f>
        <v/>
      </c>
      <c r="L461" s="144"/>
      <c r="M461" s="108"/>
      <c r="N461" s="111"/>
      <c r="O461" s="156" t="str">
        <f aca="false">IF(OR(B461="",L461="Transfer"),"",IF(COUNTIFS($B$5:$B$604,B461,$H$5:$H$604,EDATE(H461,-1),$C$5:$C$604,"&gt;="&amp;C461*0.85,$C$5:$C$604,"&lt;="&amp;C461*1.15)&gt;0,"recurring",""))</f>
        <v/>
      </c>
      <c r="P461" s="157" t="str">
        <f aca="false">IF(B461="","",IF(COUNTIF(B461:$B$604,B461)=1,1,""))</f>
        <v/>
      </c>
      <c r="Q461" s="157" t="str">
        <f aca="false">IF(AND(O461="recurring",P461=1),COUNTIFS($O$5:O461,"recurring",$P$5:P461,1),"")</f>
        <v/>
      </c>
    </row>
    <row r="462" customFormat="false" ht="15" hidden="false" customHeight="false" outlineLevel="0" collapsed="false">
      <c r="A462" s="110"/>
      <c r="B462" s="108"/>
      <c r="C462" s="142"/>
      <c r="D462" s="108"/>
      <c r="E462" s="183" t="str">
        <f aca="false" t="array" ref="E462:E462">IF(B462="","",IFERROR(INDEX(Keywords!$B$5:$B$165,MAX(ISNUMBER(SEARCH(Keywords!$A$5:$A$165,B462))*(Keywords!$A$5:$A$165&lt;&gt;"")*ROW(Keywords!$A$5:$A$165))-4),""))</f>
        <v/>
      </c>
      <c r="F462" s="150" t="str">
        <f aca="false">IF(B462="","",IF(L462="Transfer","Transfer",IF(L462="Income","Income",IF(D462&lt;&gt;"",D462,IF(E462&lt;&gt;"",E462,"Uncategorized")))))</f>
        <v/>
      </c>
      <c r="G462" s="108"/>
      <c r="H462" s="184" t="str">
        <f aca="false">IF(A462="","",DATE(YEAR(A462),MONTH(A462),1))</f>
        <v/>
      </c>
      <c r="I462" s="185"/>
      <c r="J462" s="144"/>
      <c r="K462" s="159" t="str">
        <f aca="false">IF(C462="","",N(C462)/IF(N462&lt;&gt;"",N462,IF(J462="",1,IFERROR(INDEX(Setup!$C$23:$C$46,MATCH(J462,Setup!$A$23:$A$46,0)),1))))</f>
        <v/>
      </c>
      <c r="L462" s="144"/>
      <c r="M462" s="108"/>
      <c r="N462" s="111"/>
      <c r="O462" s="156" t="str">
        <f aca="false">IF(OR(B462="",L462="Transfer"),"",IF(COUNTIFS($B$5:$B$604,B462,$H$5:$H$604,EDATE(H462,-1),$C$5:$C$604,"&gt;="&amp;C462*0.85,$C$5:$C$604,"&lt;="&amp;C462*1.15)&gt;0,"recurring",""))</f>
        <v/>
      </c>
      <c r="P462" s="157" t="str">
        <f aca="false">IF(B462="","",IF(COUNTIF(B462:$B$604,B462)=1,1,""))</f>
        <v/>
      </c>
      <c r="Q462" s="157" t="str">
        <f aca="false">IF(AND(O462="recurring",P462=1),COUNTIFS($O$5:O462,"recurring",$P$5:P462,1),"")</f>
        <v/>
      </c>
    </row>
    <row r="463" customFormat="false" ht="15" hidden="false" customHeight="false" outlineLevel="0" collapsed="false">
      <c r="A463" s="110"/>
      <c r="B463" s="108"/>
      <c r="C463" s="142"/>
      <c r="D463" s="108"/>
      <c r="E463" s="183" t="str">
        <f aca="false" t="array" ref="E463:E463">IF(B463="","",IFERROR(INDEX(Keywords!$B$5:$B$165,MAX(ISNUMBER(SEARCH(Keywords!$A$5:$A$165,B463))*(Keywords!$A$5:$A$165&lt;&gt;"")*ROW(Keywords!$A$5:$A$165))-4),""))</f>
        <v/>
      </c>
      <c r="F463" s="150" t="str">
        <f aca="false">IF(B463="","",IF(L463="Transfer","Transfer",IF(L463="Income","Income",IF(D463&lt;&gt;"",D463,IF(E463&lt;&gt;"",E463,"Uncategorized")))))</f>
        <v/>
      </c>
      <c r="G463" s="108"/>
      <c r="H463" s="184" t="str">
        <f aca="false">IF(A463="","",DATE(YEAR(A463),MONTH(A463),1))</f>
        <v/>
      </c>
      <c r="I463" s="185"/>
      <c r="J463" s="144"/>
      <c r="K463" s="159" t="str">
        <f aca="false">IF(C463="","",N(C463)/IF(N463&lt;&gt;"",N463,IF(J463="",1,IFERROR(INDEX(Setup!$C$23:$C$46,MATCH(J463,Setup!$A$23:$A$46,0)),1))))</f>
        <v/>
      </c>
      <c r="L463" s="144"/>
      <c r="M463" s="108"/>
      <c r="N463" s="111"/>
      <c r="O463" s="156" t="str">
        <f aca="false">IF(OR(B463="",L463="Transfer"),"",IF(COUNTIFS($B$5:$B$604,B463,$H$5:$H$604,EDATE(H463,-1),$C$5:$C$604,"&gt;="&amp;C463*0.85,$C$5:$C$604,"&lt;="&amp;C463*1.15)&gt;0,"recurring",""))</f>
        <v/>
      </c>
      <c r="P463" s="157" t="str">
        <f aca="false">IF(B463="","",IF(COUNTIF(B463:$B$604,B463)=1,1,""))</f>
        <v/>
      </c>
      <c r="Q463" s="157" t="str">
        <f aca="false">IF(AND(O463="recurring",P463=1),COUNTIFS($O$5:O463,"recurring",$P$5:P463,1),"")</f>
        <v/>
      </c>
    </row>
    <row r="464" customFormat="false" ht="15" hidden="false" customHeight="false" outlineLevel="0" collapsed="false">
      <c r="A464" s="110"/>
      <c r="B464" s="108"/>
      <c r="C464" s="142"/>
      <c r="D464" s="108"/>
      <c r="E464" s="183" t="str">
        <f aca="false" t="array" ref="E464:E464">IF(B464="","",IFERROR(INDEX(Keywords!$B$5:$B$165,MAX(ISNUMBER(SEARCH(Keywords!$A$5:$A$165,B464))*(Keywords!$A$5:$A$165&lt;&gt;"")*ROW(Keywords!$A$5:$A$165))-4),""))</f>
        <v/>
      </c>
      <c r="F464" s="150" t="str">
        <f aca="false">IF(B464="","",IF(L464="Transfer","Transfer",IF(L464="Income","Income",IF(D464&lt;&gt;"",D464,IF(E464&lt;&gt;"",E464,"Uncategorized")))))</f>
        <v/>
      </c>
      <c r="G464" s="108"/>
      <c r="H464" s="184" t="str">
        <f aca="false">IF(A464="","",DATE(YEAR(A464),MONTH(A464),1))</f>
        <v/>
      </c>
      <c r="I464" s="185"/>
      <c r="J464" s="144"/>
      <c r="K464" s="159" t="str">
        <f aca="false">IF(C464="","",N(C464)/IF(N464&lt;&gt;"",N464,IF(J464="",1,IFERROR(INDEX(Setup!$C$23:$C$46,MATCH(J464,Setup!$A$23:$A$46,0)),1))))</f>
        <v/>
      </c>
      <c r="L464" s="144"/>
      <c r="M464" s="108"/>
      <c r="N464" s="111"/>
      <c r="O464" s="156" t="str">
        <f aca="false">IF(OR(B464="",L464="Transfer"),"",IF(COUNTIFS($B$5:$B$604,B464,$H$5:$H$604,EDATE(H464,-1),$C$5:$C$604,"&gt;="&amp;C464*0.85,$C$5:$C$604,"&lt;="&amp;C464*1.15)&gt;0,"recurring",""))</f>
        <v/>
      </c>
      <c r="P464" s="157" t="str">
        <f aca="false">IF(B464="","",IF(COUNTIF(B464:$B$604,B464)=1,1,""))</f>
        <v/>
      </c>
      <c r="Q464" s="157" t="str">
        <f aca="false">IF(AND(O464="recurring",P464=1),COUNTIFS($O$5:O464,"recurring",$P$5:P464,1),"")</f>
        <v/>
      </c>
    </row>
    <row r="465" customFormat="false" ht="15" hidden="false" customHeight="false" outlineLevel="0" collapsed="false">
      <c r="A465" s="110"/>
      <c r="B465" s="108"/>
      <c r="C465" s="142"/>
      <c r="D465" s="108"/>
      <c r="E465" s="183" t="str">
        <f aca="false" t="array" ref="E465:E465">IF(B465="","",IFERROR(INDEX(Keywords!$B$5:$B$165,MAX(ISNUMBER(SEARCH(Keywords!$A$5:$A$165,B465))*(Keywords!$A$5:$A$165&lt;&gt;"")*ROW(Keywords!$A$5:$A$165))-4),""))</f>
        <v/>
      </c>
      <c r="F465" s="150" t="str">
        <f aca="false">IF(B465="","",IF(L465="Transfer","Transfer",IF(L465="Income","Income",IF(D465&lt;&gt;"",D465,IF(E465&lt;&gt;"",E465,"Uncategorized")))))</f>
        <v/>
      </c>
      <c r="G465" s="108"/>
      <c r="H465" s="184" t="str">
        <f aca="false">IF(A465="","",DATE(YEAR(A465),MONTH(A465),1))</f>
        <v/>
      </c>
      <c r="I465" s="185"/>
      <c r="J465" s="144"/>
      <c r="K465" s="159" t="str">
        <f aca="false">IF(C465="","",N(C465)/IF(N465&lt;&gt;"",N465,IF(J465="",1,IFERROR(INDEX(Setup!$C$23:$C$46,MATCH(J465,Setup!$A$23:$A$46,0)),1))))</f>
        <v/>
      </c>
      <c r="L465" s="144"/>
      <c r="M465" s="108"/>
      <c r="N465" s="111"/>
      <c r="O465" s="156" t="str">
        <f aca="false">IF(OR(B465="",L465="Transfer"),"",IF(COUNTIFS($B$5:$B$604,B465,$H$5:$H$604,EDATE(H465,-1),$C$5:$C$604,"&gt;="&amp;C465*0.85,$C$5:$C$604,"&lt;="&amp;C465*1.15)&gt;0,"recurring",""))</f>
        <v/>
      </c>
      <c r="P465" s="157" t="str">
        <f aca="false">IF(B465="","",IF(COUNTIF(B465:$B$604,B465)=1,1,""))</f>
        <v/>
      </c>
      <c r="Q465" s="157" t="str">
        <f aca="false">IF(AND(O465="recurring",P465=1),COUNTIFS($O$5:O465,"recurring",$P$5:P465,1),"")</f>
        <v/>
      </c>
    </row>
    <row r="466" customFormat="false" ht="15" hidden="false" customHeight="false" outlineLevel="0" collapsed="false">
      <c r="A466" s="110"/>
      <c r="B466" s="108"/>
      <c r="C466" s="142"/>
      <c r="D466" s="108"/>
      <c r="E466" s="183" t="str">
        <f aca="false" t="array" ref="E466:E466">IF(B466="","",IFERROR(INDEX(Keywords!$B$5:$B$165,MAX(ISNUMBER(SEARCH(Keywords!$A$5:$A$165,B466))*(Keywords!$A$5:$A$165&lt;&gt;"")*ROW(Keywords!$A$5:$A$165))-4),""))</f>
        <v/>
      </c>
      <c r="F466" s="150" t="str">
        <f aca="false">IF(B466="","",IF(L466="Transfer","Transfer",IF(L466="Income","Income",IF(D466&lt;&gt;"",D466,IF(E466&lt;&gt;"",E466,"Uncategorized")))))</f>
        <v/>
      </c>
      <c r="G466" s="108"/>
      <c r="H466" s="184" t="str">
        <f aca="false">IF(A466="","",DATE(YEAR(A466),MONTH(A466),1))</f>
        <v/>
      </c>
      <c r="I466" s="185"/>
      <c r="J466" s="144"/>
      <c r="K466" s="159" t="str">
        <f aca="false">IF(C466="","",N(C466)/IF(N466&lt;&gt;"",N466,IF(J466="",1,IFERROR(INDEX(Setup!$C$23:$C$46,MATCH(J466,Setup!$A$23:$A$46,0)),1))))</f>
        <v/>
      </c>
      <c r="L466" s="144"/>
      <c r="M466" s="108"/>
      <c r="N466" s="111"/>
      <c r="O466" s="156" t="str">
        <f aca="false">IF(OR(B466="",L466="Transfer"),"",IF(COUNTIFS($B$5:$B$604,B466,$H$5:$H$604,EDATE(H466,-1),$C$5:$C$604,"&gt;="&amp;C466*0.85,$C$5:$C$604,"&lt;="&amp;C466*1.15)&gt;0,"recurring",""))</f>
        <v/>
      </c>
      <c r="P466" s="157" t="str">
        <f aca="false">IF(B466="","",IF(COUNTIF(B466:$B$604,B466)=1,1,""))</f>
        <v/>
      </c>
      <c r="Q466" s="157" t="str">
        <f aca="false">IF(AND(O466="recurring",P466=1),COUNTIFS($O$5:O466,"recurring",$P$5:P466,1),"")</f>
        <v/>
      </c>
    </row>
    <row r="467" customFormat="false" ht="15" hidden="false" customHeight="false" outlineLevel="0" collapsed="false">
      <c r="A467" s="110"/>
      <c r="B467" s="108"/>
      <c r="C467" s="142"/>
      <c r="D467" s="108"/>
      <c r="E467" s="183" t="str">
        <f aca="false" t="array" ref="E467:E467">IF(B467="","",IFERROR(INDEX(Keywords!$B$5:$B$165,MAX(ISNUMBER(SEARCH(Keywords!$A$5:$A$165,B467))*(Keywords!$A$5:$A$165&lt;&gt;"")*ROW(Keywords!$A$5:$A$165))-4),""))</f>
        <v/>
      </c>
      <c r="F467" s="150" t="str">
        <f aca="false">IF(B467="","",IF(L467="Transfer","Transfer",IF(L467="Income","Income",IF(D467&lt;&gt;"",D467,IF(E467&lt;&gt;"",E467,"Uncategorized")))))</f>
        <v/>
      </c>
      <c r="G467" s="108"/>
      <c r="H467" s="184" t="str">
        <f aca="false">IF(A467="","",DATE(YEAR(A467),MONTH(A467),1))</f>
        <v/>
      </c>
      <c r="I467" s="185"/>
      <c r="J467" s="144"/>
      <c r="K467" s="159" t="str">
        <f aca="false">IF(C467="","",N(C467)/IF(N467&lt;&gt;"",N467,IF(J467="",1,IFERROR(INDEX(Setup!$C$23:$C$46,MATCH(J467,Setup!$A$23:$A$46,0)),1))))</f>
        <v/>
      </c>
      <c r="L467" s="144"/>
      <c r="M467" s="108"/>
      <c r="N467" s="111"/>
      <c r="O467" s="156" t="str">
        <f aca="false">IF(OR(B467="",L467="Transfer"),"",IF(COUNTIFS($B$5:$B$604,B467,$H$5:$H$604,EDATE(H467,-1),$C$5:$C$604,"&gt;="&amp;C467*0.85,$C$5:$C$604,"&lt;="&amp;C467*1.15)&gt;0,"recurring",""))</f>
        <v/>
      </c>
      <c r="P467" s="157" t="str">
        <f aca="false">IF(B467="","",IF(COUNTIF(B467:$B$604,B467)=1,1,""))</f>
        <v/>
      </c>
      <c r="Q467" s="157" t="str">
        <f aca="false">IF(AND(O467="recurring",P467=1),COUNTIFS($O$5:O467,"recurring",$P$5:P467,1),"")</f>
        <v/>
      </c>
    </row>
    <row r="468" customFormat="false" ht="15" hidden="false" customHeight="false" outlineLevel="0" collapsed="false">
      <c r="A468" s="110"/>
      <c r="B468" s="108"/>
      <c r="C468" s="142"/>
      <c r="D468" s="108"/>
      <c r="E468" s="183" t="str">
        <f aca="false" t="array" ref="E468:E468">IF(B468="","",IFERROR(INDEX(Keywords!$B$5:$B$165,MAX(ISNUMBER(SEARCH(Keywords!$A$5:$A$165,B468))*(Keywords!$A$5:$A$165&lt;&gt;"")*ROW(Keywords!$A$5:$A$165))-4),""))</f>
        <v/>
      </c>
      <c r="F468" s="150" t="str">
        <f aca="false">IF(B468="","",IF(L468="Transfer","Transfer",IF(L468="Income","Income",IF(D468&lt;&gt;"",D468,IF(E468&lt;&gt;"",E468,"Uncategorized")))))</f>
        <v/>
      </c>
      <c r="G468" s="108"/>
      <c r="H468" s="184" t="str">
        <f aca="false">IF(A468="","",DATE(YEAR(A468),MONTH(A468),1))</f>
        <v/>
      </c>
      <c r="I468" s="185"/>
      <c r="J468" s="144"/>
      <c r="K468" s="159" t="str">
        <f aca="false">IF(C468="","",N(C468)/IF(N468&lt;&gt;"",N468,IF(J468="",1,IFERROR(INDEX(Setup!$C$23:$C$46,MATCH(J468,Setup!$A$23:$A$46,0)),1))))</f>
        <v/>
      </c>
      <c r="L468" s="144"/>
      <c r="M468" s="108"/>
      <c r="N468" s="111"/>
      <c r="O468" s="156" t="str">
        <f aca="false">IF(OR(B468="",L468="Transfer"),"",IF(COUNTIFS($B$5:$B$604,B468,$H$5:$H$604,EDATE(H468,-1),$C$5:$C$604,"&gt;="&amp;C468*0.85,$C$5:$C$604,"&lt;="&amp;C468*1.15)&gt;0,"recurring",""))</f>
        <v/>
      </c>
      <c r="P468" s="157" t="str">
        <f aca="false">IF(B468="","",IF(COUNTIF(B468:$B$604,B468)=1,1,""))</f>
        <v/>
      </c>
      <c r="Q468" s="157" t="str">
        <f aca="false">IF(AND(O468="recurring",P468=1),COUNTIFS($O$5:O468,"recurring",$P$5:P468,1),"")</f>
        <v/>
      </c>
    </row>
    <row r="469" customFormat="false" ht="15" hidden="false" customHeight="false" outlineLevel="0" collapsed="false">
      <c r="A469" s="110"/>
      <c r="B469" s="108"/>
      <c r="C469" s="142"/>
      <c r="D469" s="108"/>
      <c r="E469" s="183" t="str">
        <f aca="false" t="array" ref="E469:E469">IF(B469="","",IFERROR(INDEX(Keywords!$B$5:$B$165,MAX(ISNUMBER(SEARCH(Keywords!$A$5:$A$165,B469))*(Keywords!$A$5:$A$165&lt;&gt;"")*ROW(Keywords!$A$5:$A$165))-4),""))</f>
        <v/>
      </c>
      <c r="F469" s="150" t="str">
        <f aca="false">IF(B469="","",IF(L469="Transfer","Transfer",IF(L469="Income","Income",IF(D469&lt;&gt;"",D469,IF(E469&lt;&gt;"",E469,"Uncategorized")))))</f>
        <v/>
      </c>
      <c r="G469" s="108"/>
      <c r="H469" s="184" t="str">
        <f aca="false">IF(A469="","",DATE(YEAR(A469),MONTH(A469),1))</f>
        <v/>
      </c>
      <c r="I469" s="185"/>
      <c r="J469" s="144"/>
      <c r="K469" s="159" t="str">
        <f aca="false">IF(C469="","",N(C469)/IF(N469&lt;&gt;"",N469,IF(J469="",1,IFERROR(INDEX(Setup!$C$23:$C$46,MATCH(J469,Setup!$A$23:$A$46,0)),1))))</f>
        <v/>
      </c>
      <c r="L469" s="144"/>
      <c r="M469" s="108"/>
      <c r="N469" s="111"/>
      <c r="O469" s="156" t="str">
        <f aca="false">IF(OR(B469="",L469="Transfer"),"",IF(COUNTIFS($B$5:$B$604,B469,$H$5:$H$604,EDATE(H469,-1),$C$5:$C$604,"&gt;="&amp;C469*0.85,$C$5:$C$604,"&lt;="&amp;C469*1.15)&gt;0,"recurring",""))</f>
        <v/>
      </c>
      <c r="P469" s="157" t="str">
        <f aca="false">IF(B469="","",IF(COUNTIF(B469:$B$604,B469)=1,1,""))</f>
        <v/>
      </c>
      <c r="Q469" s="157" t="str">
        <f aca="false">IF(AND(O469="recurring",P469=1),COUNTIFS($O$5:O469,"recurring",$P$5:P469,1),"")</f>
        <v/>
      </c>
    </row>
    <row r="470" customFormat="false" ht="15" hidden="false" customHeight="false" outlineLevel="0" collapsed="false">
      <c r="A470" s="110"/>
      <c r="B470" s="108"/>
      <c r="C470" s="142"/>
      <c r="D470" s="108"/>
      <c r="E470" s="183" t="str">
        <f aca="false" t="array" ref="E470:E470">IF(B470="","",IFERROR(INDEX(Keywords!$B$5:$B$165,MAX(ISNUMBER(SEARCH(Keywords!$A$5:$A$165,B470))*(Keywords!$A$5:$A$165&lt;&gt;"")*ROW(Keywords!$A$5:$A$165))-4),""))</f>
        <v/>
      </c>
      <c r="F470" s="150" t="str">
        <f aca="false">IF(B470="","",IF(L470="Transfer","Transfer",IF(L470="Income","Income",IF(D470&lt;&gt;"",D470,IF(E470&lt;&gt;"",E470,"Uncategorized")))))</f>
        <v/>
      </c>
      <c r="G470" s="108"/>
      <c r="H470" s="184" t="str">
        <f aca="false">IF(A470="","",DATE(YEAR(A470),MONTH(A470),1))</f>
        <v/>
      </c>
      <c r="I470" s="185"/>
      <c r="J470" s="144"/>
      <c r="K470" s="159" t="str">
        <f aca="false">IF(C470="","",N(C470)/IF(N470&lt;&gt;"",N470,IF(J470="",1,IFERROR(INDEX(Setup!$C$23:$C$46,MATCH(J470,Setup!$A$23:$A$46,0)),1))))</f>
        <v/>
      </c>
      <c r="L470" s="144"/>
      <c r="M470" s="108"/>
      <c r="N470" s="111"/>
      <c r="O470" s="156" t="str">
        <f aca="false">IF(OR(B470="",L470="Transfer"),"",IF(COUNTIFS($B$5:$B$604,B470,$H$5:$H$604,EDATE(H470,-1),$C$5:$C$604,"&gt;="&amp;C470*0.85,$C$5:$C$604,"&lt;="&amp;C470*1.15)&gt;0,"recurring",""))</f>
        <v/>
      </c>
      <c r="P470" s="157" t="str">
        <f aca="false">IF(B470="","",IF(COUNTIF(B470:$B$604,B470)=1,1,""))</f>
        <v/>
      </c>
      <c r="Q470" s="157" t="str">
        <f aca="false">IF(AND(O470="recurring",P470=1),COUNTIFS($O$5:O470,"recurring",$P$5:P470,1),"")</f>
        <v/>
      </c>
    </row>
    <row r="471" customFormat="false" ht="15" hidden="false" customHeight="false" outlineLevel="0" collapsed="false">
      <c r="A471" s="110"/>
      <c r="B471" s="108"/>
      <c r="C471" s="142"/>
      <c r="D471" s="108"/>
      <c r="E471" s="183" t="str">
        <f aca="false" t="array" ref="E471:E471">IF(B471="","",IFERROR(INDEX(Keywords!$B$5:$B$165,MAX(ISNUMBER(SEARCH(Keywords!$A$5:$A$165,B471))*(Keywords!$A$5:$A$165&lt;&gt;"")*ROW(Keywords!$A$5:$A$165))-4),""))</f>
        <v/>
      </c>
      <c r="F471" s="150" t="str">
        <f aca="false">IF(B471="","",IF(L471="Transfer","Transfer",IF(L471="Income","Income",IF(D471&lt;&gt;"",D471,IF(E471&lt;&gt;"",E471,"Uncategorized")))))</f>
        <v/>
      </c>
      <c r="G471" s="108"/>
      <c r="H471" s="184" t="str">
        <f aca="false">IF(A471="","",DATE(YEAR(A471),MONTH(A471),1))</f>
        <v/>
      </c>
      <c r="I471" s="185"/>
      <c r="J471" s="144"/>
      <c r="K471" s="159" t="str">
        <f aca="false">IF(C471="","",N(C471)/IF(N471&lt;&gt;"",N471,IF(J471="",1,IFERROR(INDEX(Setup!$C$23:$C$46,MATCH(J471,Setup!$A$23:$A$46,0)),1))))</f>
        <v/>
      </c>
      <c r="L471" s="144"/>
      <c r="M471" s="108"/>
      <c r="N471" s="111"/>
      <c r="O471" s="156" t="str">
        <f aca="false">IF(OR(B471="",L471="Transfer"),"",IF(COUNTIFS($B$5:$B$604,B471,$H$5:$H$604,EDATE(H471,-1),$C$5:$C$604,"&gt;="&amp;C471*0.85,$C$5:$C$604,"&lt;="&amp;C471*1.15)&gt;0,"recurring",""))</f>
        <v/>
      </c>
      <c r="P471" s="157" t="str">
        <f aca="false">IF(B471="","",IF(COUNTIF(B471:$B$604,B471)=1,1,""))</f>
        <v/>
      </c>
      <c r="Q471" s="157" t="str">
        <f aca="false">IF(AND(O471="recurring",P471=1),COUNTIFS($O$5:O471,"recurring",$P$5:P471,1),"")</f>
        <v/>
      </c>
    </row>
    <row r="472" customFormat="false" ht="15" hidden="false" customHeight="false" outlineLevel="0" collapsed="false">
      <c r="A472" s="110"/>
      <c r="B472" s="108"/>
      <c r="C472" s="142"/>
      <c r="D472" s="108"/>
      <c r="E472" s="183" t="str">
        <f aca="false" t="array" ref="E472:E472">IF(B472="","",IFERROR(INDEX(Keywords!$B$5:$B$165,MAX(ISNUMBER(SEARCH(Keywords!$A$5:$A$165,B472))*(Keywords!$A$5:$A$165&lt;&gt;"")*ROW(Keywords!$A$5:$A$165))-4),""))</f>
        <v/>
      </c>
      <c r="F472" s="150" t="str">
        <f aca="false">IF(B472="","",IF(L472="Transfer","Transfer",IF(L472="Income","Income",IF(D472&lt;&gt;"",D472,IF(E472&lt;&gt;"",E472,"Uncategorized")))))</f>
        <v/>
      </c>
      <c r="G472" s="108"/>
      <c r="H472" s="184" t="str">
        <f aca="false">IF(A472="","",DATE(YEAR(A472),MONTH(A472),1))</f>
        <v/>
      </c>
      <c r="I472" s="185"/>
      <c r="J472" s="144"/>
      <c r="K472" s="159" t="str">
        <f aca="false">IF(C472="","",N(C472)/IF(N472&lt;&gt;"",N472,IF(J472="",1,IFERROR(INDEX(Setup!$C$23:$C$46,MATCH(J472,Setup!$A$23:$A$46,0)),1))))</f>
        <v/>
      </c>
      <c r="L472" s="144"/>
      <c r="M472" s="108"/>
      <c r="N472" s="111"/>
      <c r="O472" s="156" t="str">
        <f aca="false">IF(OR(B472="",L472="Transfer"),"",IF(COUNTIFS($B$5:$B$604,B472,$H$5:$H$604,EDATE(H472,-1),$C$5:$C$604,"&gt;="&amp;C472*0.85,$C$5:$C$604,"&lt;="&amp;C472*1.15)&gt;0,"recurring",""))</f>
        <v/>
      </c>
      <c r="P472" s="157" t="str">
        <f aca="false">IF(B472="","",IF(COUNTIF(B472:$B$604,B472)=1,1,""))</f>
        <v/>
      </c>
      <c r="Q472" s="157" t="str">
        <f aca="false">IF(AND(O472="recurring",P472=1),COUNTIFS($O$5:O472,"recurring",$P$5:P472,1),"")</f>
        <v/>
      </c>
    </row>
    <row r="473" customFormat="false" ht="15" hidden="false" customHeight="false" outlineLevel="0" collapsed="false">
      <c r="A473" s="110"/>
      <c r="B473" s="108"/>
      <c r="C473" s="142"/>
      <c r="D473" s="108"/>
      <c r="E473" s="183" t="str">
        <f aca="false" t="array" ref="E473:E473">IF(B473="","",IFERROR(INDEX(Keywords!$B$5:$B$165,MAX(ISNUMBER(SEARCH(Keywords!$A$5:$A$165,B473))*(Keywords!$A$5:$A$165&lt;&gt;"")*ROW(Keywords!$A$5:$A$165))-4),""))</f>
        <v/>
      </c>
      <c r="F473" s="150" t="str">
        <f aca="false">IF(B473="","",IF(L473="Transfer","Transfer",IF(L473="Income","Income",IF(D473&lt;&gt;"",D473,IF(E473&lt;&gt;"",E473,"Uncategorized")))))</f>
        <v/>
      </c>
      <c r="G473" s="108"/>
      <c r="H473" s="184" t="str">
        <f aca="false">IF(A473="","",DATE(YEAR(A473),MONTH(A473),1))</f>
        <v/>
      </c>
      <c r="I473" s="185"/>
      <c r="J473" s="144"/>
      <c r="K473" s="159" t="str">
        <f aca="false">IF(C473="","",N(C473)/IF(N473&lt;&gt;"",N473,IF(J473="",1,IFERROR(INDEX(Setup!$C$23:$C$46,MATCH(J473,Setup!$A$23:$A$46,0)),1))))</f>
        <v/>
      </c>
      <c r="L473" s="144"/>
      <c r="M473" s="108"/>
      <c r="N473" s="111"/>
      <c r="O473" s="156" t="str">
        <f aca="false">IF(OR(B473="",L473="Transfer"),"",IF(COUNTIFS($B$5:$B$604,B473,$H$5:$H$604,EDATE(H473,-1),$C$5:$C$604,"&gt;="&amp;C473*0.85,$C$5:$C$604,"&lt;="&amp;C473*1.15)&gt;0,"recurring",""))</f>
        <v/>
      </c>
      <c r="P473" s="157" t="str">
        <f aca="false">IF(B473="","",IF(COUNTIF(B473:$B$604,B473)=1,1,""))</f>
        <v/>
      </c>
      <c r="Q473" s="157" t="str">
        <f aca="false">IF(AND(O473="recurring",P473=1),COUNTIFS($O$5:O473,"recurring",$P$5:P473,1),"")</f>
        <v/>
      </c>
    </row>
    <row r="474" customFormat="false" ht="15" hidden="false" customHeight="false" outlineLevel="0" collapsed="false">
      <c r="A474" s="110"/>
      <c r="B474" s="108"/>
      <c r="C474" s="142"/>
      <c r="D474" s="108"/>
      <c r="E474" s="183" t="str">
        <f aca="false" t="array" ref="E474:E474">IF(B474="","",IFERROR(INDEX(Keywords!$B$5:$B$165,MAX(ISNUMBER(SEARCH(Keywords!$A$5:$A$165,B474))*(Keywords!$A$5:$A$165&lt;&gt;"")*ROW(Keywords!$A$5:$A$165))-4),""))</f>
        <v/>
      </c>
      <c r="F474" s="150" t="str">
        <f aca="false">IF(B474="","",IF(L474="Transfer","Transfer",IF(L474="Income","Income",IF(D474&lt;&gt;"",D474,IF(E474&lt;&gt;"",E474,"Uncategorized")))))</f>
        <v/>
      </c>
      <c r="G474" s="108"/>
      <c r="H474" s="184" t="str">
        <f aca="false">IF(A474="","",DATE(YEAR(A474),MONTH(A474),1))</f>
        <v/>
      </c>
      <c r="I474" s="185"/>
      <c r="J474" s="144"/>
      <c r="K474" s="159" t="str">
        <f aca="false">IF(C474="","",N(C474)/IF(N474&lt;&gt;"",N474,IF(J474="",1,IFERROR(INDEX(Setup!$C$23:$C$46,MATCH(J474,Setup!$A$23:$A$46,0)),1))))</f>
        <v/>
      </c>
      <c r="L474" s="144"/>
      <c r="M474" s="108"/>
      <c r="N474" s="111"/>
      <c r="O474" s="156" t="str">
        <f aca="false">IF(OR(B474="",L474="Transfer"),"",IF(COUNTIFS($B$5:$B$604,B474,$H$5:$H$604,EDATE(H474,-1),$C$5:$C$604,"&gt;="&amp;C474*0.85,$C$5:$C$604,"&lt;="&amp;C474*1.15)&gt;0,"recurring",""))</f>
        <v/>
      </c>
      <c r="P474" s="157" t="str">
        <f aca="false">IF(B474="","",IF(COUNTIF(B474:$B$604,B474)=1,1,""))</f>
        <v/>
      </c>
      <c r="Q474" s="157" t="str">
        <f aca="false">IF(AND(O474="recurring",P474=1),COUNTIFS($O$5:O474,"recurring",$P$5:P474,1),"")</f>
        <v/>
      </c>
    </row>
    <row r="475" customFormat="false" ht="15" hidden="false" customHeight="false" outlineLevel="0" collapsed="false">
      <c r="A475" s="110"/>
      <c r="B475" s="108"/>
      <c r="C475" s="142"/>
      <c r="D475" s="108"/>
      <c r="E475" s="183" t="str">
        <f aca="false" t="array" ref="E475:E475">IF(B475="","",IFERROR(INDEX(Keywords!$B$5:$B$165,MAX(ISNUMBER(SEARCH(Keywords!$A$5:$A$165,B475))*(Keywords!$A$5:$A$165&lt;&gt;"")*ROW(Keywords!$A$5:$A$165))-4),""))</f>
        <v/>
      </c>
      <c r="F475" s="150" t="str">
        <f aca="false">IF(B475="","",IF(L475="Transfer","Transfer",IF(L475="Income","Income",IF(D475&lt;&gt;"",D475,IF(E475&lt;&gt;"",E475,"Uncategorized")))))</f>
        <v/>
      </c>
      <c r="G475" s="108"/>
      <c r="H475" s="184" t="str">
        <f aca="false">IF(A475="","",DATE(YEAR(A475),MONTH(A475),1))</f>
        <v/>
      </c>
      <c r="I475" s="185"/>
      <c r="J475" s="144"/>
      <c r="K475" s="159" t="str">
        <f aca="false">IF(C475="","",N(C475)/IF(N475&lt;&gt;"",N475,IF(J475="",1,IFERROR(INDEX(Setup!$C$23:$C$46,MATCH(J475,Setup!$A$23:$A$46,0)),1))))</f>
        <v/>
      </c>
      <c r="L475" s="144"/>
      <c r="M475" s="108"/>
      <c r="N475" s="111"/>
      <c r="O475" s="156" t="str">
        <f aca="false">IF(OR(B475="",L475="Transfer"),"",IF(COUNTIFS($B$5:$B$604,B475,$H$5:$H$604,EDATE(H475,-1),$C$5:$C$604,"&gt;="&amp;C475*0.85,$C$5:$C$604,"&lt;="&amp;C475*1.15)&gt;0,"recurring",""))</f>
        <v/>
      </c>
      <c r="P475" s="157" t="str">
        <f aca="false">IF(B475="","",IF(COUNTIF(B475:$B$604,B475)=1,1,""))</f>
        <v/>
      </c>
      <c r="Q475" s="157" t="str">
        <f aca="false">IF(AND(O475="recurring",P475=1),COUNTIFS($O$5:O475,"recurring",$P$5:P475,1),"")</f>
        <v/>
      </c>
    </row>
    <row r="476" customFormat="false" ht="15" hidden="false" customHeight="false" outlineLevel="0" collapsed="false">
      <c r="A476" s="110"/>
      <c r="B476" s="108"/>
      <c r="C476" s="142"/>
      <c r="D476" s="108"/>
      <c r="E476" s="183" t="str">
        <f aca="false" t="array" ref="E476:E476">IF(B476="","",IFERROR(INDEX(Keywords!$B$5:$B$165,MAX(ISNUMBER(SEARCH(Keywords!$A$5:$A$165,B476))*(Keywords!$A$5:$A$165&lt;&gt;"")*ROW(Keywords!$A$5:$A$165))-4),""))</f>
        <v/>
      </c>
      <c r="F476" s="150" t="str">
        <f aca="false">IF(B476="","",IF(L476="Transfer","Transfer",IF(L476="Income","Income",IF(D476&lt;&gt;"",D476,IF(E476&lt;&gt;"",E476,"Uncategorized")))))</f>
        <v/>
      </c>
      <c r="G476" s="108"/>
      <c r="H476" s="184" t="str">
        <f aca="false">IF(A476="","",DATE(YEAR(A476),MONTH(A476),1))</f>
        <v/>
      </c>
      <c r="I476" s="185"/>
      <c r="J476" s="144"/>
      <c r="K476" s="159" t="str">
        <f aca="false">IF(C476="","",N(C476)/IF(N476&lt;&gt;"",N476,IF(J476="",1,IFERROR(INDEX(Setup!$C$23:$C$46,MATCH(J476,Setup!$A$23:$A$46,0)),1))))</f>
        <v/>
      </c>
      <c r="L476" s="144"/>
      <c r="M476" s="108"/>
      <c r="N476" s="111"/>
      <c r="O476" s="156" t="str">
        <f aca="false">IF(OR(B476="",L476="Transfer"),"",IF(COUNTIFS($B$5:$B$604,B476,$H$5:$H$604,EDATE(H476,-1),$C$5:$C$604,"&gt;="&amp;C476*0.85,$C$5:$C$604,"&lt;="&amp;C476*1.15)&gt;0,"recurring",""))</f>
        <v/>
      </c>
      <c r="P476" s="157" t="str">
        <f aca="false">IF(B476="","",IF(COUNTIF(B476:$B$604,B476)=1,1,""))</f>
        <v/>
      </c>
      <c r="Q476" s="157" t="str">
        <f aca="false">IF(AND(O476="recurring",P476=1),COUNTIFS($O$5:O476,"recurring",$P$5:P476,1),"")</f>
        <v/>
      </c>
    </row>
    <row r="477" customFormat="false" ht="15" hidden="false" customHeight="false" outlineLevel="0" collapsed="false">
      <c r="A477" s="110"/>
      <c r="B477" s="108"/>
      <c r="C477" s="142"/>
      <c r="D477" s="108"/>
      <c r="E477" s="183" t="str">
        <f aca="false" t="array" ref="E477:E477">IF(B477="","",IFERROR(INDEX(Keywords!$B$5:$B$165,MAX(ISNUMBER(SEARCH(Keywords!$A$5:$A$165,B477))*(Keywords!$A$5:$A$165&lt;&gt;"")*ROW(Keywords!$A$5:$A$165))-4),""))</f>
        <v/>
      </c>
      <c r="F477" s="150" t="str">
        <f aca="false">IF(B477="","",IF(L477="Transfer","Transfer",IF(L477="Income","Income",IF(D477&lt;&gt;"",D477,IF(E477&lt;&gt;"",E477,"Uncategorized")))))</f>
        <v/>
      </c>
      <c r="G477" s="108"/>
      <c r="H477" s="184" t="str">
        <f aca="false">IF(A477="","",DATE(YEAR(A477),MONTH(A477),1))</f>
        <v/>
      </c>
      <c r="I477" s="185"/>
      <c r="J477" s="144"/>
      <c r="K477" s="159" t="str">
        <f aca="false">IF(C477="","",N(C477)/IF(N477&lt;&gt;"",N477,IF(J477="",1,IFERROR(INDEX(Setup!$C$23:$C$46,MATCH(J477,Setup!$A$23:$A$46,0)),1))))</f>
        <v/>
      </c>
      <c r="L477" s="144"/>
      <c r="M477" s="108"/>
      <c r="N477" s="111"/>
      <c r="O477" s="156" t="str">
        <f aca="false">IF(OR(B477="",L477="Transfer"),"",IF(COUNTIFS($B$5:$B$604,B477,$H$5:$H$604,EDATE(H477,-1),$C$5:$C$604,"&gt;="&amp;C477*0.85,$C$5:$C$604,"&lt;="&amp;C477*1.15)&gt;0,"recurring",""))</f>
        <v/>
      </c>
      <c r="P477" s="157" t="str">
        <f aca="false">IF(B477="","",IF(COUNTIF(B477:$B$604,B477)=1,1,""))</f>
        <v/>
      </c>
      <c r="Q477" s="157" t="str">
        <f aca="false">IF(AND(O477="recurring",P477=1),COUNTIFS($O$5:O477,"recurring",$P$5:P477,1),"")</f>
        <v/>
      </c>
    </row>
    <row r="478" customFormat="false" ht="15" hidden="false" customHeight="false" outlineLevel="0" collapsed="false">
      <c r="A478" s="110"/>
      <c r="B478" s="108"/>
      <c r="C478" s="142"/>
      <c r="D478" s="108"/>
      <c r="E478" s="183" t="str">
        <f aca="false" t="array" ref="E478:E478">IF(B478="","",IFERROR(INDEX(Keywords!$B$5:$B$165,MAX(ISNUMBER(SEARCH(Keywords!$A$5:$A$165,B478))*(Keywords!$A$5:$A$165&lt;&gt;"")*ROW(Keywords!$A$5:$A$165))-4),""))</f>
        <v/>
      </c>
      <c r="F478" s="150" t="str">
        <f aca="false">IF(B478="","",IF(L478="Transfer","Transfer",IF(L478="Income","Income",IF(D478&lt;&gt;"",D478,IF(E478&lt;&gt;"",E478,"Uncategorized")))))</f>
        <v/>
      </c>
      <c r="G478" s="108"/>
      <c r="H478" s="184" t="str">
        <f aca="false">IF(A478="","",DATE(YEAR(A478),MONTH(A478),1))</f>
        <v/>
      </c>
      <c r="I478" s="185"/>
      <c r="J478" s="144"/>
      <c r="K478" s="159" t="str">
        <f aca="false">IF(C478="","",N(C478)/IF(N478&lt;&gt;"",N478,IF(J478="",1,IFERROR(INDEX(Setup!$C$23:$C$46,MATCH(J478,Setup!$A$23:$A$46,0)),1))))</f>
        <v/>
      </c>
      <c r="L478" s="144"/>
      <c r="M478" s="108"/>
      <c r="N478" s="111"/>
      <c r="O478" s="156" t="str">
        <f aca="false">IF(OR(B478="",L478="Transfer"),"",IF(COUNTIFS($B$5:$B$604,B478,$H$5:$H$604,EDATE(H478,-1),$C$5:$C$604,"&gt;="&amp;C478*0.85,$C$5:$C$604,"&lt;="&amp;C478*1.15)&gt;0,"recurring",""))</f>
        <v/>
      </c>
      <c r="P478" s="157" t="str">
        <f aca="false">IF(B478="","",IF(COUNTIF(B478:$B$604,B478)=1,1,""))</f>
        <v/>
      </c>
      <c r="Q478" s="157" t="str">
        <f aca="false">IF(AND(O478="recurring",P478=1),COUNTIFS($O$5:O478,"recurring",$P$5:P478,1),"")</f>
        <v/>
      </c>
    </row>
    <row r="479" customFormat="false" ht="15" hidden="false" customHeight="false" outlineLevel="0" collapsed="false">
      <c r="A479" s="110"/>
      <c r="B479" s="108"/>
      <c r="C479" s="142"/>
      <c r="D479" s="108"/>
      <c r="E479" s="183" t="str">
        <f aca="false" t="array" ref="E479:E479">IF(B479="","",IFERROR(INDEX(Keywords!$B$5:$B$165,MAX(ISNUMBER(SEARCH(Keywords!$A$5:$A$165,B479))*(Keywords!$A$5:$A$165&lt;&gt;"")*ROW(Keywords!$A$5:$A$165))-4),""))</f>
        <v/>
      </c>
      <c r="F479" s="150" t="str">
        <f aca="false">IF(B479="","",IF(L479="Transfer","Transfer",IF(L479="Income","Income",IF(D479&lt;&gt;"",D479,IF(E479&lt;&gt;"",E479,"Uncategorized")))))</f>
        <v/>
      </c>
      <c r="G479" s="108"/>
      <c r="H479" s="184" t="str">
        <f aca="false">IF(A479="","",DATE(YEAR(A479),MONTH(A479),1))</f>
        <v/>
      </c>
      <c r="I479" s="185"/>
      <c r="J479" s="144"/>
      <c r="K479" s="159" t="str">
        <f aca="false">IF(C479="","",N(C479)/IF(N479&lt;&gt;"",N479,IF(J479="",1,IFERROR(INDEX(Setup!$C$23:$C$46,MATCH(J479,Setup!$A$23:$A$46,0)),1))))</f>
        <v/>
      </c>
      <c r="L479" s="144"/>
      <c r="M479" s="108"/>
      <c r="N479" s="111"/>
      <c r="O479" s="156" t="str">
        <f aca="false">IF(OR(B479="",L479="Transfer"),"",IF(COUNTIFS($B$5:$B$604,B479,$H$5:$H$604,EDATE(H479,-1),$C$5:$C$604,"&gt;="&amp;C479*0.85,$C$5:$C$604,"&lt;="&amp;C479*1.15)&gt;0,"recurring",""))</f>
        <v/>
      </c>
      <c r="P479" s="157" t="str">
        <f aca="false">IF(B479="","",IF(COUNTIF(B479:$B$604,B479)=1,1,""))</f>
        <v/>
      </c>
      <c r="Q479" s="157" t="str">
        <f aca="false">IF(AND(O479="recurring",P479=1),COUNTIFS($O$5:O479,"recurring",$P$5:P479,1),"")</f>
        <v/>
      </c>
    </row>
    <row r="480" customFormat="false" ht="15" hidden="false" customHeight="false" outlineLevel="0" collapsed="false">
      <c r="A480" s="110"/>
      <c r="B480" s="108"/>
      <c r="C480" s="142"/>
      <c r="D480" s="108"/>
      <c r="E480" s="183" t="str">
        <f aca="false" t="array" ref="E480:E480">IF(B480="","",IFERROR(INDEX(Keywords!$B$5:$B$165,MAX(ISNUMBER(SEARCH(Keywords!$A$5:$A$165,B480))*(Keywords!$A$5:$A$165&lt;&gt;"")*ROW(Keywords!$A$5:$A$165))-4),""))</f>
        <v/>
      </c>
      <c r="F480" s="150" t="str">
        <f aca="false">IF(B480="","",IF(L480="Transfer","Transfer",IF(L480="Income","Income",IF(D480&lt;&gt;"",D480,IF(E480&lt;&gt;"",E480,"Uncategorized")))))</f>
        <v/>
      </c>
      <c r="G480" s="108"/>
      <c r="H480" s="184" t="str">
        <f aca="false">IF(A480="","",DATE(YEAR(A480),MONTH(A480),1))</f>
        <v/>
      </c>
      <c r="I480" s="185"/>
      <c r="J480" s="144"/>
      <c r="K480" s="159" t="str">
        <f aca="false">IF(C480="","",N(C480)/IF(N480&lt;&gt;"",N480,IF(J480="",1,IFERROR(INDEX(Setup!$C$23:$C$46,MATCH(J480,Setup!$A$23:$A$46,0)),1))))</f>
        <v/>
      </c>
      <c r="L480" s="144"/>
      <c r="M480" s="108"/>
      <c r="N480" s="111"/>
      <c r="O480" s="156" t="str">
        <f aca="false">IF(OR(B480="",L480="Transfer"),"",IF(COUNTIFS($B$5:$B$604,B480,$H$5:$H$604,EDATE(H480,-1),$C$5:$C$604,"&gt;="&amp;C480*0.85,$C$5:$C$604,"&lt;="&amp;C480*1.15)&gt;0,"recurring",""))</f>
        <v/>
      </c>
      <c r="P480" s="157" t="str">
        <f aca="false">IF(B480="","",IF(COUNTIF(B480:$B$604,B480)=1,1,""))</f>
        <v/>
      </c>
      <c r="Q480" s="157" t="str">
        <f aca="false">IF(AND(O480="recurring",P480=1),COUNTIFS($O$5:O480,"recurring",$P$5:P480,1),"")</f>
        <v/>
      </c>
    </row>
    <row r="481" customFormat="false" ht="15" hidden="false" customHeight="false" outlineLevel="0" collapsed="false">
      <c r="A481" s="110"/>
      <c r="B481" s="108"/>
      <c r="C481" s="142"/>
      <c r="D481" s="108"/>
      <c r="E481" s="183" t="str">
        <f aca="false" t="array" ref="E481:E481">IF(B481="","",IFERROR(INDEX(Keywords!$B$5:$B$165,MAX(ISNUMBER(SEARCH(Keywords!$A$5:$A$165,B481))*(Keywords!$A$5:$A$165&lt;&gt;"")*ROW(Keywords!$A$5:$A$165))-4),""))</f>
        <v/>
      </c>
      <c r="F481" s="150" t="str">
        <f aca="false">IF(B481="","",IF(L481="Transfer","Transfer",IF(L481="Income","Income",IF(D481&lt;&gt;"",D481,IF(E481&lt;&gt;"",E481,"Uncategorized")))))</f>
        <v/>
      </c>
      <c r="G481" s="108"/>
      <c r="H481" s="184" t="str">
        <f aca="false">IF(A481="","",DATE(YEAR(A481),MONTH(A481),1))</f>
        <v/>
      </c>
      <c r="I481" s="185"/>
      <c r="J481" s="144"/>
      <c r="K481" s="159" t="str">
        <f aca="false">IF(C481="","",N(C481)/IF(N481&lt;&gt;"",N481,IF(J481="",1,IFERROR(INDEX(Setup!$C$23:$C$46,MATCH(J481,Setup!$A$23:$A$46,0)),1))))</f>
        <v/>
      </c>
      <c r="L481" s="144"/>
      <c r="M481" s="108"/>
      <c r="N481" s="111"/>
      <c r="O481" s="156" t="str">
        <f aca="false">IF(OR(B481="",L481="Transfer"),"",IF(COUNTIFS($B$5:$B$604,B481,$H$5:$H$604,EDATE(H481,-1),$C$5:$C$604,"&gt;="&amp;C481*0.85,$C$5:$C$604,"&lt;="&amp;C481*1.15)&gt;0,"recurring",""))</f>
        <v/>
      </c>
      <c r="P481" s="157" t="str">
        <f aca="false">IF(B481="","",IF(COUNTIF(B481:$B$604,B481)=1,1,""))</f>
        <v/>
      </c>
      <c r="Q481" s="157" t="str">
        <f aca="false">IF(AND(O481="recurring",P481=1),COUNTIFS($O$5:O481,"recurring",$P$5:P481,1),"")</f>
        <v/>
      </c>
    </row>
    <row r="482" customFormat="false" ht="15" hidden="false" customHeight="false" outlineLevel="0" collapsed="false">
      <c r="A482" s="110"/>
      <c r="B482" s="108"/>
      <c r="C482" s="142"/>
      <c r="D482" s="108"/>
      <c r="E482" s="183" t="str">
        <f aca="false" t="array" ref="E482:E482">IF(B482="","",IFERROR(INDEX(Keywords!$B$5:$B$165,MAX(ISNUMBER(SEARCH(Keywords!$A$5:$A$165,B482))*(Keywords!$A$5:$A$165&lt;&gt;"")*ROW(Keywords!$A$5:$A$165))-4),""))</f>
        <v/>
      </c>
      <c r="F482" s="150" t="str">
        <f aca="false">IF(B482="","",IF(L482="Transfer","Transfer",IF(L482="Income","Income",IF(D482&lt;&gt;"",D482,IF(E482&lt;&gt;"",E482,"Uncategorized")))))</f>
        <v/>
      </c>
      <c r="G482" s="108"/>
      <c r="H482" s="184" t="str">
        <f aca="false">IF(A482="","",DATE(YEAR(A482),MONTH(A482),1))</f>
        <v/>
      </c>
      <c r="I482" s="185"/>
      <c r="J482" s="144"/>
      <c r="K482" s="159" t="str">
        <f aca="false">IF(C482="","",N(C482)/IF(N482&lt;&gt;"",N482,IF(J482="",1,IFERROR(INDEX(Setup!$C$23:$C$46,MATCH(J482,Setup!$A$23:$A$46,0)),1))))</f>
        <v/>
      </c>
      <c r="L482" s="144"/>
      <c r="M482" s="108"/>
      <c r="N482" s="111"/>
      <c r="O482" s="156" t="str">
        <f aca="false">IF(OR(B482="",L482="Transfer"),"",IF(COUNTIFS($B$5:$B$604,B482,$H$5:$H$604,EDATE(H482,-1),$C$5:$C$604,"&gt;="&amp;C482*0.85,$C$5:$C$604,"&lt;="&amp;C482*1.15)&gt;0,"recurring",""))</f>
        <v/>
      </c>
      <c r="P482" s="157" t="str">
        <f aca="false">IF(B482="","",IF(COUNTIF(B482:$B$604,B482)=1,1,""))</f>
        <v/>
      </c>
      <c r="Q482" s="157" t="str">
        <f aca="false">IF(AND(O482="recurring",P482=1),COUNTIFS($O$5:O482,"recurring",$P$5:P482,1),"")</f>
        <v/>
      </c>
    </row>
    <row r="483" customFormat="false" ht="15" hidden="false" customHeight="false" outlineLevel="0" collapsed="false">
      <c r="A483" s="110"/>
      <c r="B483" s="108"/>
      <c r="C483" s="142"/>
      <c r="D483" s="108"/>
      <c r="E483" s="183" t="str">
        <f aca="false" t="array" ref="E483:E483">IF(B483="","",IFERROR(INDEX(Keywords!$B$5:$B$165,MAX(ISNUMBER(SEARCH(Keywords!$A$5:$A$165,B483))*(Keywords!$A$5:$A$165&lt;&gt;"")*ROW(Keywords!$A$5:$A$165))-4),""))</f>
        <v/>
      </c>
      <c r="F483" s="150" t="str">
        <f aca="false">IF(B483="","",IF(L483="Transfer","Transfer",IF(L483="Income","Income",IF(D483&lt;&gt;"",D483,IF(E483&lt;&gt;"",E483,"Uncategorized")))))</f>
        <v/>
      </c>
      <c r="G483" s="108"/>
      <c r="H483" s="184" t="str">
        <f aca="false">IF(A483="","",DATE(YEAR(A483),MONTH(A483),1))</f>
        <v/>
      </c>
      <c r="I483" s="185"/>
      <c r="J483" s="144"/>
      <c r="K483" s="159" t="str">
        <f aca="false">IF(C483="","",N(C483)/IF(N483&lt;&gt;"",N483,IF(J483="",1,IFERROR(INDEX(Setup!$C$23:$C$46,MATCH(J483,Setup!$A$23:$A$46,0)),1))))</f>
        <v/>
      </c>
      <c r="L483" s="144"/>
      <c r="M483" s="108"/>
      <c r="N483" s="111"/>
      <c r="O483" s="156" t="str">
        <f aca="false">IF(OR(B483="",L483="Transfer"),"",IF(COUNTIFS($B$5:$B$604,B483,$H$5:$H$604,EDATE(H483,-1),$C$5:$C$604,"&gt;="&amp;C483*0.85,$C$5:$C$604,"&lt;="&amp;C483*1.15)&gt;0,"recurring",""))</f>
        <v/>
      </c>
      <c r="P483" s="157" t="str">
        <f aca="false">IF(B483="","",IF(COUNTIF(B483:$B$604,B483)=1,1,""))</f>
        <v/>
      </c>
      <c r="Q483" s="157" t="str">
        <f aca="false">IF(AND(O483="recurring",P483=1),COUNTIFS($O$5:O483,"recurring",$P$5:P483,1),"")</f>
        <v/>
      </c>
    </row>
    <row r="484" customFormat="false" ht="15" hidden="false" customHeight="false" outlineLevel="0" collapsed="false">
      <c r="A484" s="110"/>
      <c r="B484" s="108"/>
      <c r="C484" s="142"/>
      <c r="D484" s="108"/>
      <c r="E484" s="183" t="str">
        <f aca="false" t="array" ref="E484:E484">IF(B484="","",IFERROR(INDEX(Keywords!$B$5:$B$165,MAX(ISNUMBER(SEARCH(Keywords!$A$5:$A$165,B484))*(Keywords!$A$5:$A$165&lt;&gt;"")*ROW(Keywords!$A$5:$A$165))-4),""))</f>
        <v/>
      </c>
      <c r="F484" s="150" t="str">
        <f aca="false">IF(B484="","",IF(L484="Transfer","Transfer",IF(L484="Income","Income",IF(D484&lt;&gt;"",D484,IF(E484&lt;&gt;"",E484,"Uncategorized")))))</f>
        <v/>
      </c>
      <c r="G484" s="108"/>
      <c r="H484" s="184" t="str">
        <f aca="false">IF(A484="","",DATE(YEAR(A484),MONTH(A484),1))</f>
        <v/>
      </c>
      <c r="I484" s="185"/>
      <c r="J484" s="144"/>
      <c r="K484" s="159" t="str">
        <f aca="false">IF(C484="","",N(C484)/IF(N484&lt;&gt;"",N484,IF(J484="",1,IFERROR(INDEX(Setup!$C$23:$C$46,MATCH(J484,Setup!$A$23:$A$46,0)),1))))</f>
        <v/>
      </c>
      <c r="L484" s="144"/>
      <c r="M484" s="108"/>
      <c r="N484" s="111"/>
      <c r="O484" s="156" t="str">
        <f aca="false">IF(OR(B484="",L484="Transfer"),"",IF(COUNTIFS($B$5:$B$604,B484,$H$5:$H$604,EDATE(H484,-1),$C$5:$C$604,"&gt;="&amp;C484*0.85,$C$5:$C$604,"&lt;="&amp;C484*1.15)&gt;0,"recurring",""))</f>
        <v/>
      </c>
      <c r="P484" s="157" t="str">
        <f aca="false">IF(B484="","",IF(COUNTIF(B484:$B$604,B484)=1,1,""))</f>
        <v/>
      </c>
      <c r="Q484" s="157" t="str">
        <f aca="false">IF(AND(O484="recurring",P484=1),COUNTIFS($O$5:O484,"recurring",$P$5:P484,1),"")</f>
        <v/>
      </c>
    </row>
    <row r="485" customFormat="false" ht="15" hidden="false" customHeight="false" outlineLevel="0" collapsed="false">
      <c r="A485" s="110"/>
      <c r="B485" s="108"/>
      <c r="C485" s="142"/>
      <c r="D485" s="108"/>
      <c r="E485" s="183" t="str">
        <f aca="false" t="array" ref="E485:E485">IF(B485="","",IFERROR(INDEX(Keywords!$B$5:$B$165,MAX(ISNUMBER(SEARCH(Keywords!$A$5:$A$165,B485))*(Keywords!$A$5:$A$165&lt;&gt;"")*ROW(Keywords!$A$5:$A$165))-4),""))</f>
        <v/>
      </c>
      <c r="F485" s="150" t="str">
        <f aca="false">IF(B485="","",IF(L485="Transfer","Transfer",IF(L485="Income","Income",IF(D485&lt;&gt;"",D485,IF(E485&lt;&gt;"",E485,"Uncategorized")))))</f>
        <v/>
      </c>
      <c r="G485" s="108"/>
      <c r="H485" s="184" t="str">
        <f aca="false">IF(A485="","",DATE(YEAR(A485),MONTH(A485),1))</f>
        <v/>
      </c>
      <c r="I485" s="185"/>
      <c r="J485" s="144"/>
      <c r="K485" s="159" t="str">
        <f aca="false">IF(C485="","",N(C485)/IF(N485&lt;&gt;"",N485,IF(J485="",1,IFERROR(INDEX(Setup!$C$23:$C$46,MATCH(J485,Setup!$A$23:$A$46,0)),1))))</f>
        <v/>
      </c>
      <c r="L485" s="144"/>
      <c r="M485" s="108"/>
      <c r="N485" s="111"/>
      <c r="O485" s="156" t="str">
        <f aca="false">IF(OR(B485="",L485="Transfer"),"",IF(COUNTIFS($B$5:$B$604,B485,$H$5:$H$604,EDATE(H485,-1),$C$5:$C$604,"&gt;="&amp;C485*0.85,$C$5:$C$604,"&lt;="&amp;C485*1.15)&gt;0,"recurring",""))</f>
        <v/>
      </c>
      <c r="P485" s="157" t="str">
        <f aca="false">IF(B485="","",IF(COUNTIF(B485:$B$604,B485)=1,1,""))</f>
        <v/>
      </c>
      <c r="Q485" s="157" t="str">
        <f aca="false">IF(AND(O485="recurring",P485=1),COUNTIFS($O$5:O485,"recurring",$P$5:P485,1),"")</f>
        <v/>
      </c>
    </row>
    <row r="486" customFormat="false" ht="15" hidden="false" customHeight="false" outlineLevel="0" collapsed="false">
      <c r="A486" s="110"/>
      <c r="B486" s="108"/>
      <c r="C486" s="142"/>
      <c r="D486" s="108"/>
      <c r="E486" s="183" t="str">
        <f aca="false" t="array" ref="E486:E486">IF(B486="","",IFERROR(INDEX(Keywords!$B$5:$B$165,MAX(ISNUMBER(SEARCH(Keywords!$A$5:$A$165,B486))*(Keywords!$A$5:$A$165&lt;&gt;"")*ROW(Keywords!$A$5:$A$165))-4),""))</f>
        <v/>
      </c>
      <c r="F486" s="150" t="str">
        <f aca="false">IF(B486="","",IF(L486="Transfer","Transfer",IF(L486="Income","Income",IF(D486&lt;&gt;"",D486,IF(E486&lt;&gt;"",E486,"Uncategorized")))))</f>
        <v/>
      </c>
      <c r="G486" s="108"/>
      <c r="H486" s="184" t="str">
        <f aca="false">IF(A486="","",DATE(YEAR(A486),MONTH(A486),1))</f>
        <v/>
      </c>
      <c r="I486" s="185"/>
      <c r="J486" s="144"/>
      <c r="K486" s="159" t="str">
        <f aca="false">IF(C486="","",N(C486)/IF(N486&lt;&gt;"",N486,IF(J486="",1,IFERROR(INDEX(Setup!$C$23:$C$46,MATCH(J486,Setup!$A$23:$A$46,0)),1))))</f>
        <v/>
      </c>
      <c r="L486" s="144"/>
      <c r="M486" s="108"/>
      <c r="N486" s="111"/>
      <c r="O486" s="156" t="str">
        <f aca="false">IF(OR(B486="",L486="Transfer"),"",IF(COUNTIFS($B$5:$B$604,B486,$H$5:$H$604,EDATE(H486,-1),$C$5:$C$604,"&gt;="&amp;C486*0.85,$C$5:$C$604,"&lt;="&amp;C486*1.15)&gt;0,"recurring",""))</f>
        <v/>
      </c>
      <c r="P486" s="157" t="str">
        <f aca="false">IF(B486="","",IF(COUNTIF(B486:$B$604,B486)=1,1,""))</f>
        <v/>
      </c>
      <c r="Q486" s="157" t="str">
        <f aca="false">IF(AND(O486="recurring",P486=1),COUNTIFS($O$5:O486,"recurring",$P$5:P486,1),"")</f>
        <v/>
      </c>
    </row>
    <row r="487" customFormat="false" ht="15" hidden="false" customHeight="false" outlineLevel="0" collapsed="false">
      <c r="A487" s="110"/>
      <c r="B487" s="108"/>
      <c r="C487" s="142"/>
      <c r="D487" s="108"/>
      <c r="E487" s="183" t="str">
        <f aca="false" t="array" ref="E487:E487">IF(B487="","",IFERROR(INDEX(Keywords!$B$5:$B$165,MAX(ISNUMBER(SEARCH(Keywords!$A$5:$A$165,B487))*(Keywords!$A$5:$A$165&lt;&gt;"")*ROW(Keywords!$A$5:$A$165))-4),""))</f>
        <v/>
      </c>
      <c r="F487" s="150" t="str">
        <f aca="false">IF(B487="","",IF(L487="Transfer","Transfer",IF(L487="Income","Income",IF(D487&lt;&gt;"",D487,IF(E487&lt;&gt;"",E487,"Uncategorized")))))</f>
        <v/>
      </c>
      <c r="G487" s="108"/>
      <c r="H487" s="184" t="str">
        <f aca="false">IF(A487="","",DATE(YEAR(A487),MONTH(A487),1))</f>
        <v/>
      </c>
      <c r="I487" s="185"/>
      <c r="J487" s="144"/>
      <c r="K487" s="159" t="str">
        <f aca="false">IF(C487="","",N(C487)/IF(N487&lt;&gt;"",N487,IF(J487="",1,IFERROR(INDEX(Setup!$C$23:$C$46,MATCH(J487,Setup!$A$23:$A$46,0)),1))))</f>
        <v/>
      </c>
      <c r="L487" s="144"/>
      <c r="M487" s="108"/>
      <c r="N487" s="111"/>
      <c r="O487" s="156" t="str">
        <f aca="false">IF(OR(B487="",L487="Transfer"),"",IF(COUNTIFS($B$5:$B$604,B487,$H$5:$H$604,EDATE(H487,-1),$C$5:$C$604,"&gt;="&amp;C487*0.85,$C$5:$C$604,"&lt;="&amp;C487*1.15)&gt;0,"recurring",""))</f>
        <v/>
      </c>
      <c r="P487" s="157" t="str">
        <f aca="false">IF(B487="","",IF(COUNTIF(B487:$B$604,B487)=1,1,""))</f>
        <v/>
      </c>
      <c r="Q487" s="157" t="str">
        <f aca="false">IF(AND(O487="recurring",P487=1),COUNTIFS($O$5:O487,"recurring",$P$5:P487,1),"")</f>
        <v/>
      </c>
    </row>
    <row r="488" customFormat="false" ht="15" hidden="false" customHeight="false" outlineLevel="0" collapsed="false">
      <c r="A488" s="110"/>
      <c r="B488" s="108"/>
      <c r="C488" s="142"/>
      <c r="D488" s="108"/>
      <c r="E488" s="183" t="str">
        <f aca="false" t="array" ref="E488:E488">IF(B488="","",IFERROR(INDEX(Keywords!$B$5:$B$165,MAX(ISNUMBER(SEARCH(Keywords!$A$5:$A$165,B488))*(Keywords!$A$5:$A$165&lt;&gt;"")*ROW(Keywords!$A$5:$A$165))-4),""))</f>
        <v/>
      </c>
      <c r="F488" s="150" t="str">
        <f aca="false">IF(B488="","",IF(L488="Transfer","Transfer",IF(L488="Income","Income",IF(D488&lt;&gt;"",D488,IF(E488&lt;&gt;"",E488,"Uncategorized")))))</f>
        <v/>
      </c>
      <c r="G488" s="108"/>
      <c r="H488" s="184" t="str">
        <f aca="false">IF(A488="","",DATE(YEAR(A488),MONTH(A488),1))</f>
        <v/>
      </c>
      <c r="I488" s="185"/>
      <c r="J488" s="144"/>
      <c r="K488" s="159" t="str">
        <f aca="false">IF(C488="","",N(C488)/IF(N488&lt;&gt;"",N488,IF(J488="",1,IFERROR(INDEX(Setup!$C$23:$C$46,MATCH(J488,Setup!$A$23:$A$46,0)),1))))</f>
        <v/>
      </c>
      <c r="L488" s="144"/>
      <c r="M488" s="108"/>
      <c r="N488" s="111"/>
      <c r="O488" s="156" t="str">
        <f aca="false">IF(OR(B488="",L488="Transfer"),"",IF(COUNTIFS($B$5:$B$604,B488,$H$5:$H$604,EDATE(H488,-1),$C$5:$C$604,"&gt;="&amp;C488*0.85,$C$5:$C$604,"&lt;="&amp;C488*1.15)&gt;0,"recurring",""))</f>
        <v/>
      </c>
      <c r="P488" s="157" t="str">
        <f aca="false">IF(B488="","",IF(COUNTIF(B488:$B$604,B488)=1,1,""))</f>
        <v/>
      </c>
      <c r="Q488" s="157" t="str">
        <f aca="false">IF(AND(O488="recurring",P488=1),COUNTIFS($O$5:O488,"recurring",$P$5:P488,1),"")</f>
        <v/>
      </c>
    </row>
    <row r="489" customFormat="false" ht="15" hidden="false" customHeight="false" outlineLevel="0" collapsed="false">
      <c r="A489" s="110"/>
      <c r="B489" s="108"/>
      <c r="C489" s="142"/>
      <c r="D489" s="108"/>
      <c r="E489" s="183" t="str">
        <f aca="false" t="array" ref="E489:E489">IF(B489="","",IFERROR(INDEX(Keywords!$B$5:$B$165,MAX(ISNUMBER(SEARCH(Keywords!$A$5:$A$165,B489))*(Keywords!$A$5:$A$165&lt;&gt;"")*ROW(Keywords!$A$5:$A$165))-4),""))</f>
        <v/>
      </c>
      <c r="F489" s="150" t="str">
        <f aca="false">IF(B489="","",IF(L489="Transfer","Transfer",IF(L489="Income","Income",IF(D489&lt;&gt;"",D489,IF(E489&lt;&gt;"",E489,"Uncategorized")))))</f>
        <v/>
      </c>
      <c r="G489" s="108"/>
      <c r="H489" s="184" t="str">
        <f aca="false">IF(A489="","",DATE(YEAR(A489),MONTH(A489),1))</f>
        <v/>
      </c>
      <c r="I489" s="185"/>
      <c r="J489" s="144"/>
      <c r="K489" s="159" t="str">
        <f aca="false">IF(C489="","",N(C489)/IF(N489&lt;&gt;"",N489,IF(J489="",1,IFERROR(INDEX(Setup!$C$23:$C$46,MATCH(J489,Setup!$A$23:$A$46,0)),1))))</f>
        <v/>
      </c>
      <c r="L489" s="144"/>
      <c r="M489" s="108"/>
      <c r="N489" s="111"/>
      <c r="O489" s="156" t="str">
        <f aca="false">IF(OR(B489="",L489="Transfer"),"",IF(COUNTIFS($B$5:$B$604,B489,$H$5:$H$604,EDATE(H489,-1),$C$5:$C$604,"&gt;="&amp;C489*0.85,$C$5:$C$604,"&lt;="&amp;C489*1.15)&gt;0,"recurring",""))</f>
        <v/>
      </c>
      <c r="P489" s="157" t="str">
        <f aca="false">IF(B489="","",IF(COUNTIF(B489:$B$604,B489)=1,1,""))</f>
        <v/>
      </c>
      <c r="Q489" s="157" t="str">
        <f aca="false">IF(AND(O489="recurring",P489=1),COUNTIFS($O$5:O489,"recurring",$P$5:P489,1),"")</f>
        <v/>
      </c>
    </row>
    <row r="490" customFormat="false" ht="15" hidden="false" customHeight="false" outlineLevel="0" collapsed="false">
      <c r="A490" s="110"/>
      <c r="B490" s="108"/>
      <c r="C490" s="142"/>
      <c r="D490" s="108"/>
      <c r="E490" s="183" t="str">
        <f aca="false" t="array" ref="E490:E490">IF(B490="","",IFERROR(INDEX(Keywords!$B$5:$B$165,MAX(ISNUMBER(SEARCH(Keywords!$A$5:$A$165,B490))*(Keywords!$A$5:$A$165&lt;&gt;"")*ROW(Keywords!$A$5:$A$165))-4),""))</f>
        <v/>
      </c>
      <c r="F490" s="150" t="str">
        <f aca="false">IF(B490="","",IF(L490="Transfer","Transfer",IF(L490="Income","Income",IF(D490&lt;&gt;"",D490,IF(E490&lt;&gt;"",E490,"Uncategorized")))))</f>
        <v/>
      </c>
      <c r="G490" s="108"/>
      <c r="H490" s="184" t="str">
        <f aca="false">IF(A490="","",DATE(YEAR(A490),MONTH(A490),1))</f>
        <v/>
      </c>
      <c r="I490" s="185"/>
      <c r="J490" s="144"/>
      <c r="K490" s="159" t="str">
        <f aca="false">IF(C490="","",N(C490)/IF(N490&lt;&gt;"",N490,IF(J490="",1,IFERROR(INDEX(Setup!$C$23:$C$46,MATCH(J490,Setup!$A$23:$A$46,0)),1))))</f>
        <v/>
      </c>
      <c r="L490" s="144"/>
      <c r="M490" s="108"/>
      <c r="N490" s="111"/>
      <c r="O490" s="156" t="str">
        <f aca="false">IF(OR(B490="",L490="Transfer"),"",IF(COUNTIFS($B$5:$B$604,B490,$H$5:$H$604,EDATE(H490,-1),$C$5:$C$604,"&gt;="&amp;C490*0.85,$C$5:$C$604,"&lt;="&amp;C490*1.15)&gt;0,"recurring",""))</f>
        <v/>
      </c>
      <c r="P490" s="157" t="str">
        <f aca="false">IF(B490="","",IF(COUNTIF(B490:$B$604,B490)=1,1,""))</f>
        <v/>
      </c>
      <c r="Q490" s="157" t="str">
        <f aca="false">IF(AND(O490="recurring",P490=1),COUNTIFS($O$5:O490,"recurring",$P$5:P490,1),"")</f>
        <v/>
      </c>
    </row>
    <row r="491" customFormat="false" ht="15" hidden="false" customHeight="false" outlineLevel="0" collapsed="false">
      <c r="A491" s="110"/>
      <c r="B491" s="108"/>
      <c r="C491" s="142"/>
      <c r="D491" s="108"/>
      <c r="E491" s="183" t="str">
        <f aca="false" t="array" ref="E491:E491">IF(B491="","",IFERROR(INDEX(Keywords!$B$5:$B$165,MAX(ISNUMBER(SEARCH(Keywords!$A$5:$A$165,B491))*(Keywords!$A$5:$A$165&lt;&gt;"")*ROW(Keywords!$A$5:$A$165))-4),""))</f>
        <v/>
      </c>
      <c r="F491" s="150" t="str">
        <f aca="false">IF(B491="","",IF(L491="Transfer","Transfer",IF(L491="Income","Income",IF(D491&lt;&gt;"",D491,IF(E491&lt;&gt;"",E491,"Uncategorized")))))</f>
        <v/>
      </c>
      <c r="G491" s="108"/>
      <c r="H491" s="184" t="str">
        <f aca="false">IF(A491="","",DATE(YEAR(A491),MONTH(A491),1))</f>
        <v/>
      </c>
      <c r="I491" s="185"/>
      <c r="J491" s="144"/>
      <c r="K491" s="159" t="str">
        <f aca="false">IF(C491="","",N(C491)/IF(N491&lt;&gt;"",N491,IF(J491="",1,IFERROR(INDEX(Setup!$C$23:$C$46,MATCH(J491,Setup!$A$23:$A$46,0)),1))))</f>
        <v/>
      </c>
      <c r="L491" s="144"/>
      <c r="M491" s="108"/>
      <c r="N491" s="111"/>
      <c r="O491" s="156" t="str">
        <f aca="false">IF(OR(B491="",L491="Transfer"),"",IF(COUNTIFS($B$5:$B$604,B491,$H$5:$H$604,EDATE(H491,-1),$C$5:$C$604,"&gt;="&amp;C491*0.85,$C$5:$C$604,"&lt;="&amp;C491*1.15)&gt;0,"recurring",""))</f>
        <v/>
      </c>
      <c r="P491" s="157" t="str">
        <f aca="false">IF(B491="","",IF(COUNTIF(B491:$B$604,B491)=1,1,""))</f>
        <v/>
      </c>
      <c r="Q491" s="157" t="str">
        <f aca="false">IF(AND(O491="recurring",P491=1),COUNTIFS($O$5:O491,"recurring",$P$5:P491,1),"")</f>
        <v/>
      </c>
    </row>
    <row r="492" customFormat="false" ht="15" hidden="false" customHeight="false" outlineLevel="0" collapsed="false">
      <c r="A492" s="110"/>
      <c r="B492" s="108"/>
      <c r="C492" s="142"/>
      <c r="D492" s="108"/>
      <c r="E492" s="183" t="str">
        <f aca="false" t="array" ref="E492:E492">IF(B492="","",IFERROR(INDEX(Keywords!$B$5:$B$165,MAX(ISNUMBER(SEARCH(Keywords!$A$5:$A$165,B492))*(Keywords!$A$5:$A$165&lt;&gt;"")*ROW(Keywords!$A$5:$A$165))-4),""))</f>
        <v/>
      </c>
      <c r="F492" s="150" t="str">
        <f aca="false">IF(B492="","",IF(L492="Transfer","Transfer",IF(L492="Income","Income",IF(D492&lt;&gt;"",D492,IF(E492&lt;&gt;"",E492,"Uncategorized")))))</f>
        <v/>
      </c>
      <c r="G492" s="108"/>
      <c r="H492" s="184" t="str">
        <f aca="false">IF(A492="","",DATE(YEAR(A492),MONTH(A492),1))</f>
        <v/>
      </c>
      <c r="I492" s="185"/>
      <c r="J492" s="144"/>
      <c r="K492" s="159" t="str">
        <f aca="false">IF(C492="","",N(C492)/IF(N492&lt;&gt;"",N492,IF(J492="",1,IFERROR(INDEX(Setup!$C$23:$C$46,MATCH(J492,Setup!$A$23:$A$46,0)),1))))</f>
        <v/>
      </c>
      <c r="L492" s="144"/>
      <c r="M492" s="108"/>
      <c r="N492" s="111"/>
      <c r="O492" s="156" t="str">
        <f aca="false">IF(OR(B492="",L492="Transfer"),"",IF(COUNTIFS($B$5:$B$604,B492,$H$5:$H$604,EDATE(H492,-1),$C$5:$C$604,"&gt;="&amp;C492*0.85,$C$5:$C$604,"&lt;="&amp;C492*1.15)&gt;0,"recurring",""))</f>
        <v/>
      </c>
      <c r="P492" s="157" t="str">
        <f aca="false">IF(B492="","",IF(COUNTIF(B492:$B$604,B492)=1,1,""))</f>
        <v/>
      </c>
      <c r="Q492" s="157" t="str">
        <f aca="false">IF(AND(O492="recurring",P492=1),COUNTIFS($O$5:O492,"recurring",$P$5:P492,1),"")</f>
        <v/>
      </c>
    </row>
    <row r="493" customFormat="false" ht="15" hidden="false" customHeight="false" outlineLevel="0" collapsed="false">
      <c r="A493" s="110"/>
      <c r="B493" s="108"/>
      <c r="C493" s="142"/>
      <c r="D493" s="108"/>
      <c r="E493" s="183" t="str">
        <f aca="false" t="array" ref="E493:E493">IF(B493="","",IFERROR(INDEX(Keywords!$B$5:$B$165,MAX(ISNUMBER(SEARCH(Keywords!$A$5:$A$165,B493))*(Keywords!$A$5:$A$165&lt;&gt;"")*ROW(Keywords!$A$5:$A$165))-4),""))</f>
        <v/>
      </c>
      <c r="F493" s="150" t="str">
        <f aca="false">IF(B493="","",IF(L493="Transfer","Transfer",IF(L493="Income","Income",IF(D493&lt;&gt;"",D493,IF(E493&lt;&gt;"",E493,"Uncategorized")))))</f>
        <v/>
      </c>
      <c r="G493" s="108"/>
      <c r="H493" s="184" t="str">
        <f aca="false">IF(A493="","",DATE(YEAR(A493),MONTH(A493),1))</f>
        <v/>
      </c>
      <c r="I493" s="185"/>
      <c r="J493" s="144"/>
      <c r="K493" s="159" t="str">
        <f aca="false">IF(C493="","",N(C493)/IF(N493&lt;&gt;"",N493,IF(J493="",1,IFERROR(INDEX(Setup!$C$23:$C$46,MATCH(J493,Setup!$A$23:$A$46,0)),1))))</f>
        <v/>
      </c>
      <c r="L493" s="144"/>
      <c r="M493" s="108"/>
      <c r="N493" s="111"/>
      <c r="O493" s="156" t="str">
        <f aca="false">IF(OR(B493="",L493="Transfer"),"",IF(COUNTIFS($B$5:$B$604,B493,$H$5:$H$604,EDATE(H493,-1),$C$5:$C$604,"&gt;="&amp;C493*0.85,$C$5:$C$604,"&lt;="&amp;C493*1.15)&gt;0,"recurring",""))</f>
        <v/>
      </c>
      <c r="P493" s="157" t="str">
        <f aca="false">IF(B493="","",IF(COUNTIF(B493:$B$604,B493)=1,1,""))</f>
        <v/>
      </c>
      <c r="Q493" s="157" t="str">
        <f aca="false">IF(AND(O493="recurring",P493=1),COUNTIFS($O$5:O493,"recurring",$P$5:P493,1),"")</f>
        <v/>
      </c>
    </row>
    <row r="494" customFormat="false" ht="15" hidden="false" customHeight="false" outlineLevel="0" collapsed="false">
      <c r="A494" s="110"/>
      <c r="B494" s="108"/>
      <c r="C494" s="142"/>
      <c r="D494" s="108"/>
      <c r="E494" s="183" t="str">
        <f aca="false" t="array" ref="E494:E494">IF(B494="","",IFERROR(INDEX(Keywords!$B$5:$B$165,MAX(ISNUMBER(SEARCH(Keywords!$A$5:$A$165,B494))*(Keywords!$A$5:$A$165&lt;&gt;"")*ROW(Keywords!$A$5:$A$165))-4),""))</f>
        <v/>
      </c>
      <c r="F494" s="150" t="str">
        <f aca="false">IF(B494="","",IF(L494="Transfer","Transfer",IF(L494="Income","Income",IF(D494&lt;&gt;"",D494,IF(E494&lt;&gt;"",E494,"Uncategorized")))))</f>
        <v/>
      </c>
      <c r="G494" s="108"/>
      <c r="H494" s="184" t="str">
        <f aca="false">IF(A494="","",DATE(YEAR(A494),MONTH(A494),1))</f>
        <v/>
      </c>
      <c r="I494" s="185"/>
      <c r="J494" s="144"/>
      <c r="K494" s="159" t="str">
        <f aca="false">IF(C494="","",N(C494)/IF(N494&lt;&gt;"",N494,IF(J494="",1,IFERROR(INDEX(Setup!$C$23:$C$46,MATCH(J494,Setup!$A$23:$A$46,0)),1))))</f>
        <v/>
      </c>
      <c r="L494" s="144"/>
      <c r="M494" s="108"/>
      <c r="N494" s="111"/>
      <c r="O494" s="156" t="str">
        <f aca="false">IF(OR(B494="",L494="Transfer"),"",IF(COUNTIFS($B$5:$B$604,B494,$H$5:$H$604,EDATE(H494,-1),$C$5:$C$604,"&gt;="&amp;C494*0.85,$C$5:$C$604,"&lt;="&amp;C494*1.15)&gt;0,"recurring",""))</f>
        <v/>
      </c>
      <c r="P494" s="157" t="str">
        <f aca="false">IF(B494="","",IF(COUNTIF(B494:$B$604,B494)=1,1,""))</f>
        <v/>
      </c>
      <c r="Q494" s="157" t="str">
        <f aca="false">IF(AND(O494="recurring",P494=1),COUNTIFS($O$5:O494,"recurring",$P$5:P494,1),"")</f>
        <v/>
      </c>
    </row>
    <row r="495" customFormat="false" ht="15" hidden="false" customHeight="false" outlineLevel="0" collapsed="false">
      <c r="A495" s="110"/>
      <c r="B495" s="108"/>
      <c r="C495" s="142"/>
      <c r="D495" s="108"/>
      <c r="E495" s="183" t="str">
        <f aca="false" t="array" ref="E495:E495">IF(B495="","",IFERROR(INDEX(Keywords!$B$5:$B$165,MAX(ISNUMBER(SEARCH(Keywords!$A$5:$A$165,B495))*(Keywords!$A$5:$A$165&lt;&gt;"")*ROW(Keywords!$A$5:$A$165))-4),""))</f>
        <v/>
      </c>
      <c r="F495" s="150" t="str">
        <f aca="false">IF(B495="","",IF(L495="Transfer","Transfer",IF(L495="Income","Income",IF(D495&lt;&gt;"",D495,IF(E495&lt;&gt;"",E495,"Uncategorized")))))</f>
        <v/>
      </c>
      <c r="G495" s="108"/>
      <c r="H495" s="184" t="str">
        <f aca="false">IF(A495="","",DATE(YEAR(A495),MONTH(A495),1))</f>
        <v/>
      </c>
      <c r="I495" s="185"/>
      <c r="J495" s="144"/>
      <c r="K495" s="159" t="str">
        <f aca="false">IF(C495="","",N(C495)/IF(N495&lt;&gt;"",N495,IF(J495="",1,IFERROR(INDEX(Setup!$C$23:$C$46,MATCH(J495,Setup!$A$23:$A$46,0)),1))))</f>
        <v/>
      </c>
      <c r="L495" s="144"/>
      <c r="M495" s="108"/>
      <c r="N495" s="111"/>
      <c r="O495" s="156" t="str">
        <f aca="false">IF(OR(B495="",L495="Transfer"),"",IF(COUNTIFS($B$5:$B$604,B495,$H$5:$H$604,EDATE(H495,-1),$C$5:$C$604,"&gt;="&amp;C495*0.85,$C$5:$C$604,"&lt;="&amp;C495*1.15)&gt;0,"recurring",""))</f>
        <v/>
      </c>
      <c r="P495" s="157" t="str">
        <f aca="false">IF(B495="","",IF(COUNTIF(B495:$B$604,B495)=1,1,""))</f>
        <v/>
      </c>
      <c r="Q495" s="157" t="str">
        <f aca="false">IF(AND(O495="recurring",P495=1),COUNTIFS($O$5:O495,"recurring",$P$5:P495,1),"")</f>
        <v/>
      </c>
    </row>
    <row r="496" customFormat="false" ht="15" hidden="false" customHeight="false" outlineLevel="0" collapsed="false">
      <c r="A496" s="110"/>
      <c r="B496" s="108"/>
      <c r="C496" s="142"/>
      <c r="D496" s="108"/>
      <c r="E496" s="183" t="str">
        <f aca="false" t="array" ref="E496:E496">IF(B496="","",IFERROR(INDEX(Keywords!$B$5:$B$165,MAX(ISNUMBER(SEARCH(Keywords!$A$5:$A$165,B496))*(Keywords!$A$5:$A$165&lt;&gt;"")*ROW(Keywords!$A$5:$A$165))-4),""))</f>
        <v/>
      </c>
      <c r="F496" s="150" t="str">
        <f aca="false">IF(B496="","",IF(L496="Transfer","Transfer",IF(L496="Income","Income",IF(D496&lt;&gt;"",D496,IF(E496&lt;&gt;"",E496,"Uncategorized")))))</f>
        <v/>
      </c>
      <c r="G496" s="108"/>
      <c r="H496" s="184" t="str">
        <f aca="false">IF(A496="","",DATE(YEAR(A496),MONTH(A496),1))</f>
        <v/>
      </c>
      <c r="I496" s="185"/>
      <c r="J496" s="144"/>
      <c r="K496" s="159" t="str">
        <f aca="false">IF(C496="","",N(C496)/IF(N496&lt;&gt;"",N496,IF(J496="",1,IFERROR(INDEX(Setup!$C$23:$C$46,MATCH(J496,Setup!$A$23:$A$46,0)),1))))</f>
        <v/>
      </c>
      <c r="L496" s="144"/>
      <c r="M496" s="108"/>
      <c r="N496" s="111"/>
      <c r="O496" s="156" t="str">
        <f aca="false">IF(OR(B496="",L496="Transfer"),"",IF(COUNTIFS($B$5:$B$604,B496,$H$5:$H$604,EDATE(H496,-1),$C$5:$C$604,"&gt;="&amp;C496*0.85,$C$5:$C$604,"&lt;="&amp;C496*1.15)&gt;0,"recurring",""))</f>
        <v/>
      </c>
      <c r="P496" s="157" t="str">
        <f aca="false">IF(B496="","",IF(COUNTIF(B496:$B$604,B496)=1,1,""))</f>
        <v/>
      </c>
      <c r="Q496" s="157" t="str">
        <f aca="false">IF(AND(O496="recurring",P496=1),COUNTIFS($O$5:O496,"recurring",$P$5:P496,1),"")</f>
        <v/>
      </c>
    </row>
    <row r="497" customFormat="false" ht="15" hidden="false" customHeight="false" outlineLevel="0" collapsed="false">
      <c r="A497" s="110"/>
      <c r="B497" s="108"/>
      <c r="C497" s="142"/>
      <c r="D497" s="108"/>
      <c r="E497" s="183" t="str">
        <f aca="false" t="array" ref="E497:E497">IF(B497="","",IFERROR(INDEX(Keywords!$B$5:$B$165,MAX(ISNUMBER(SEARCH(Keywords!$A$5:$A$165,B497))*(Keywords!$A$5:$A$165&lt;&gt;"")*ROW(Keywords!$A$5:$A$165))-4),""))</f>
        <v/>
      </c>
      <c r="F497" s="150" t="str">
        <f aca="false">IF(B497="","",IF(L497="Transfer","Transfer",IF(L497="Income","Income",IF(D497&lt;&gt;"",D497,IF(E497&lt;&gt;"",E497,"Uncategorized")))))</f>
        <v/>
      </c>
      <c r="G497" s="108"/>
      <c r="H497" s="184" t="str">
        <f aca="false">IF(A497="","",DATE(YEAR(A497),MONTH(A497),1))</f>
        <v/>
      </c>
      <c r="I497" s="185"/>
      <c r="J497" s="144"/>
      <c r="K497" s="159" t="str">
        <f aca="false">IF(C497="","",N(C497)/IF(N497&lt;&gt;"",N497,IF(J497="",1,IFERROR(INDEX(Setup!$C$23:$C$46,MATCH(J497,Setup!$A$23:$A$46,0)),1))))</f>
        <v/>
      </c>
      <c r="L497" s="144"/>
      <c r="M497" s="108"/>
      <c r="N497" s="111"/>
      <c r="O497" s="156" t="str">
        <f aca="false">IF(OR(B497="",L497="Transfer"),"",IF(COUNTIFS($B$5:$B$604,B497,$H$5:$H$604,EDATE(H497,-1),$C$5:$C$604,"&gt;="&amp;C497*0.85,$C$5:$C$604,"&lt;="&amp;C497*1.15)&gt;0,"recurring",""))</f>
        <v/>
      </c>
      <c r="P497" s="157" t="str">
        <f aca="false">IF(B497="","",IF(COUNTIF(B497:$B$604,B497)=1,1,""))</f>
        <v/>
      </c>
      <c r="Q497" s="157" t="str">
        <f aca="false">IF(AND(O497="recurring",P497=1),COUNTIFS($O$5:O497,"recurring",$P$5:P497,1),"")</f>
        <v/>
      </c>
    </row>
    <row r="498" customFormat="false" ht="15" hidden="false" customHeight="false" outlineLevel="0" collapsed="false">
      <c r="A498" s="110"/>
      <c r="B498" s="108"/>
      <c r="C498" s="142"/>
      <c r="D498" s="108"/>
      <c r="E498" s="183" t="str">
        <f aca="false" t="array" ref="E498:E498">IF(B498="","",IFERROR(INDEX(Keywords!$B$5:$B$165,MAX(ISNUMBER(SEARCH(Keywords!$A$5:$A$165,B498))*(Keywords!$A$5:$A$165&lt;&gt;"")*ROW(Keywords!$A$5:$A$165))-4),""))</f>
        <v/>
      </c>
      <c r="F498" s="150" t="str">
        <f aca="false">IF(B498="","",IF(L498="Transfer","Transfer",IF(L498="Income","Income",IF(D498&lt;&gt;"",D498,IF(E498&lt;&gt;"",E498,"Uncategorized")))))</f>
        <v/>
      </c>
      <c r="G498" s="108"/>
      <c r="H498" s="184" t="str">
        <f aca="false">IF(A498="","",DATE(YEAR(A498),MONTH(A498),1))</f>
        <v/>
      </c>
      <c r="I498" s="185"/>
      <c r="J498" s="144"/>
      <c r="K498" s="159" t="str">
        <f aca="false">IF(C498="","",N(C498)/IF(N498&lt;&gt;"",N498,IF(J498="",1,IFERROR(INDEX(Setup!$C$23:$C$46,MATCH(J498,Setup!$A$23:$A$46,0)),1))))</f>
        <v/>
      </c>
      <c r="L498" s="144"/>
      <c r="M498" s="108"/>
      <c r="N498" s="111"/>
      <c r="O498" s="156" t="str">
        <f aca="false">IF(OR(B498="",L498="Transfer"),"",IF(COUNTIFS($B$5:$B$604,B498,$H$5:$H$604,EDATE(H498,-1),$C$5:$C$604,"&gt;="&amp;C498*0.85,$C$5:$C$604,"&lt;="&amp;C498*1.15)&gt;0,"recurring",""))</f>
        <v/>
      </c>
      <c r="P498" s="157" t="str">
        <f aca="false">IF(B498="","",IF(COUNTIF(B498:$B$604,B498)=1,1,""))</f>
        <v/>
      </c>
      <c r="Q498" s="157" t="str">
        <f aca="false">IF(AND(O498="recurring",P498=1),COUNTIFS($O$5:O498,"recurring",$P$5:P498,1),"")</f>
        <v/>
      </c>
    </row>
    <row r="499" customFormat="false" ht="15" hidden="false" customHeight="false" outlineLevel="0" collapsed="false">
      <c r="A499" s="110"/>
      <c r="B499" s="108"/>
      <c r="C499" s="142"/>
      <c r="D499" s="108"/>
      <c r="E499" s="183" t="str">
        <f aca="false" t="array" ref="E499:E499">IF(B499="","",IFERROR(INDEX(Keywords!$B$5:$B$165,MAX(ISNUMBER(SEARCH(Keywords!$A$5:$A$165,B499))*(Keywords!$A$5:$A$165&lt;&gt;"")*ROW(Keywords!$A$5:$A$165))-4),""))</f>
        <v/>
      </c>
      <c r="F499" s="150" t="str">
        <f aca="false">IF(B499="","",IF(L499="Transfer","Transfer",IF(L499="Income","Income",IF(D499&lt;&gt;"",D499,IF(E499&lt;&gt;"",E499,"Uncategorized")))))</f>
        <v/>
      </c>
      <c r="G499" s="108"/>
      <c r="H499" s="184" t="str">
        <f aca="false">IF(A499="","",DATE(YEAR(A499),MONTH(A499),1))</f>
        <v/>
      </c>
      <c r="I499" s="185"/>
      <c r="J499" s="144"/>
      <c r="K499" s="159" t="str">
        <f aca="false">IF(C499="","",N(C499)/IF(N499&lt;&gt;"",N499,IF(J499="",1,IFERROR(INDEX(Setup!$C$23:$C$46,MATCH(J499,Setup!$A$23:$A$46,0)),1))))</f>
        <v/>
      </c>
      <c r="L499" s="144"/>
      <c r="M499" s="108"/>
      <c r="N499" s="111"/>
      <c r="O499" s="156" t="str">
        <f aca="false">IF(OR(B499="",L499="Transfer"),"",IF(COUNTIFS($B$5:$B$604,B499,$H$5:$H$604,EDATE(H499,-1),$C$5:$C$604,"&gt;="&amp;C499*0.85,$C$5:$C$604,"&lt;="&amp;C499*1.15)&gt;0,"recurring",""))</f>
        <v/>
      </c>
      <c r="P499" s="157" t="str">
        <f aca="false">IF(B499="","",IF(COUNTIF(B499:$B$604,B499)=1,1,""))</f>
        <v/>
      </c>
      <c r="Q499" s="157" t="str">
        <f aca="false">IF(AND(O499="recurring",P499=1),COUNTIFS($O$5:O499,"recurring",$P$5:P499,1),"")</f>
        <v/>
      </c>
    </row>
    <row r="500" customFormat="false" ht="15" hidden="false" customHeight="false" outlineLevel="0" collapsed="false">
      <c r="A500" s="110"/>
      <c r="B500" s="108"/>
      <c r="C500" s="142"/>
      <c r="D500" s="108"/>
      <c r="E500" s="183" t="str">
        <f aca="false" t="array" ref="E500:E500">IF(B500="","",IFERROR(INDEX(Keywords!$B$5:$B$165,MAX(ISNUMBER(SEARCH(Keywords!$A$5:$A$165,B500))*(Keywords!$A$5:$A$165&lt;&gt;"")*ROW(Keywords!$A$5:$A$165))-4),""))</f>
        <v/>
      </c>
      <c r="F500" s="150" t="str">
        <f aca="false">IF(B500="","",IF(L500="Transfer","Transfer",IF(L500="Income","Income",IF(D500&lt;&gt;"",D500,IF(E500&lt;&gt;"",E500,"Uncategorized")))))</f>
        <v/>
      </c>
      <c r="G500" s="108"/>
      <c r="H500" s="184" t="str">
        <f aca="false">IF(A500="","",DATE(YEAR(A500),MONTH(A500),1))</f>
        <v/>
      </c>
      <c r="I500" s="185"/>
      <c r="J500" s="144"/>
      <c r="K500" s="159" t="str">
        <f aca="false">IF(C500="","",N(C500)/IF(N500&lt;&gt;"",N500,IF(J500="",1,IFERROR(INDEX(Setup!$C$23:$C$46,MATCH(J500,Setup!$A$23:$A$46,0)),1))))</f>
        <v/>
      </c>
      <c r="L500" s="144"/>
      <c r="M500" s="108"/>
      <c r="N500" s="111"/>
      <c r="O500" s="156" t="str">
        <f aca="false">IF(OR(B500="",L500="Transfer"),"",IF(COUNTIFS($B$5:$B$604,B500,$H$5:$H$604,EDATE(H500,-1),$C$5:$C$604,"&gt;="&amp;C500*0.85,$C$5:$C$604,"&lt;="&amp;C500*1.15)&gt;0,"recurring",""))</f>
        <v/>
      </c>
      <c r="P500" s="157" t="str">
        <f aca="false">IF(B500="","",IF(COUNTIF(B500:$B$604,B500)=1,1,""))</f>
        <v/>
      </c>
      <c r="Q500" s="157" t="str">
        <f aca="false">IF(AND(O500="recurring",P500=1),COUNTIFS($O$5:O500,"recurring",$P$5:P500,1),"")</f>
        <v/>
      </c>
    </row>
    <row r="501" customFormat="false" ht="15" hidden="false" customHeight="false" outlineLevel="0" collapsed="false">
      <c r="A501" s="110"/>
      <c r="B501" s="108"/>
      <c r="C501" s="142"/>
      <c r="D501" s="108"/>
      <c r="E501" s="183" t="str">
        <f aca="false" t="array" ref="E501:E501">IF(B501="","",IFERROR(INDEX(Keywords!$B$5:$B$165,MAX(ISNUMBER(SEARCH(Keywords!$A$5:$A$165,B501))*(Keywords!$A$5:$A$165&lt;&gt;"")*ROW(Keywords!$A$5:$A$165))-4),""))</f>
        <v/>
      </c>
      <c r="F501" s="150" t="str">
        <f aca="false">IF(B501="","",IF(L501="Transfer","Transfer",IF(L501="Income","Income",IF(D501&lt;&gt;"",D501,IF(E501&lt;&gt;"",E501,"Uncategorized")))))</f>
        <v/>
      </c>
      <c r="G501" s="108"/>
      <c r="H501" s="184" t="str">
        <f aca="false">IF(A501="","",DATE(YEAR(A501),MONTH(A501),1))</f>
        <v/>
      </c>
      <c r="I501" s="185"/>
      <c r="J501" s="144"/>
      <c r="K501" s="159" t="str">
        <f aca="false">IF(C501="","",N(C501)/IF(N501&lt;&gt;"",N501,IF(J501="",1,IFERROR(INDEX(Setup!$C$23:$C$46,MATCH(J501,Setup!$A$23:$A$46,0)),1))))</f>
        <v/>
      </c>
      <c r="L501" s="144"/>
      <c r="M501" s="108"/>
      <c r="N501" s="111"/>
      <c r="O501" s="156" t="str">
        <f aca="false">IF(OR(B501="",L501="Transfer"),"",IF(COUNTIFS($B$5:$B$604,B501,$H$5:$H$604,EDATE(H501,-1),$C$5:$C$604,"&gt;="&amp;C501*0.85,$C$5:$C$604,"&lt;="&amp;C501*1.15)&gt;0,"recurring",""))</f>
        <v/>
      </c>
      <c r="P501" s="157" t="str">
        <f aca="false">IF(B501="","",IF(COUNTIF(B501:$B$604,B501)=1,1,""))</f>
        <v/>
      </c>
      <c r="Q501" s="157" t="str">
        <f aca="false">IF(AND(O501="recurring",P501=1),COUNTIFS($O$5:O501,"recurring",$P$5:P501,1),"")</f>
        <v/>
      </c>
    </row>
    <row r="502" customFormat="false" ht="15" hidden="false" customHeight="false" outlineLevel="0" collapsed="false">
      <c r="A502" s="110"/>
      <c r="B502" s="108"/>
      <c r="C502" s="142"/>
      <c r="D502" s="108"/>
      <c r="E502" s="183" t="str">
        <f aca="false" t="array" ref="E502:E502">IF(B502="","",IFERROR(INDEX(Keywords!$B$5:$B$165,MAX(ISNUMBER(SEARCH(Keywords!$A$5:$A$165,B502))*(Keywords!$A$5:$A$165&lt;&gt;"")*ROW(Keywords!$A$5:$A$165))-4),""))</f>
        <v/>
      </c>
      <c r="F502" s="150" t="str">
        <f aca="false">IF(B502="","",IF(L502="Transfer","Transfer",IF(L502="Income","Income",IF(D502&lt;&gt;"",D502,IF(E502&lt;&gt;"",E502,"Uncategorized")))))</f>
        <v/>
      </c>
      <c r="G502" s="108"/>
      <c r="H502" s="184" t="str">
        <f aca="false">IF(A502="","",DATE(YEAR(A502),MONTH(A502),1))</f>
        <v/>
      </c>
      <c r="I502" s="185"/>
      <c r="J502" s="144"/>
      <c r="K502" s="159" t="str">
        <f aca="false">IF(C502="","",N(C502)/IF(N502&lt;&gt;"",N502,IF(J502="",1,IFERROR(INDEX(Setup!$C$23:$C$46,MATCH(J502,Setup!$A$23:$A$46,0)),1))))</f>
        <v/>
      </c>
      <c r="L502" s="144"/>
      <c r="M502" s="108"/>
      <c r="N502" s="111"/>
      <c r="O502" s="156" t="str">
        <f aca="false">IF(OR(B502="",L502="Transfer"),"",IF(COUNTIFS($B$5:$B$604,B502,$H$5:$H$604,EDATE(H502,-1),$C$5:$C$604,"&gt;="&amp;C502*0.85,$C$5:$C$604,"&lt;="&amp;C502*1.15)&gt;0,"recurring",""))</f>
        <v/>
      </c>
      <c r="P502" s="157" t="str">
        <f aca="false">IF(B502="","",IF(COUNTIF(B502:$B$604,B502)=1,1,""))</f>
        <v/>
      </c>
      <c r="Q502" s="157" t="str">
        <f aca="false">IF(AND(O502="recurring",P502=1),COUNTIFS($O$5:O502,"recurring",$P$5:P502,1),"")</f>
        <v/>
      </c>
    </row>
    <row r="503" customFormat="false" ht="15" hidden="false" customHeight="false" outlineLevel="0" collapsed="false">
      <c r="A503" s="110"/>
      <c r="B503" s="108"/>
      <c r="C503" s="142"/>
      <c r="D503" s="108"/>
      <c r="E503" s="183" t="str">
        <f aca="false" t="array" ref="E503:E503">IF(B503="","",IFERROR(INDEX(Keywords!$B$5:$B$165,MAX(ISNUMBER(SEARCH(Keywords!$A$5:$A$165,B503))*(Keywords!$A$5:$A$165&lt;&gt;"")*ROW(Keywords!$A$5:$A$165))-4),""))</f>
        <v/>
      </c>
      <c r="F503" s="150" t="str">
        <f aca="false">IF(B503="","",IF(L503="Transfer","Transfer",IF(L503="Income","Income",IF(D503&lt;&gt;"",D503,IF(E503&lt;&gt;"",E503,"Uncategorized")))))</f>
        <v/>
      </c>
      <c r="G503" s="108"/>
      <c r="H503" s="184" t="str">
        <f aca="false">IF(A503="","",DATE(YEAR(A503),MONTH(A503),1))</f>
        <v/>
      </c>
      <c r="I503" s="185"/>
      <c r="J503" s="144"/>
      <c r="K503" s="159" t="str">
        <f aca="false">IF(C503="","",N(C503)/IF(N503&lt;&gt;"",N503,IF(J503="",1,IFERROR(INDEX(Setup!$C$23:$C$46,MATCH(J503,Setup!$A$23:$A$46,0)),1))))</f>
        <v/>
      </c>
      <c r="L503" s="144"/>
      <c r="M503" s="108"/>
      <c r="N503" s="111"/>
      <c r="O503" s="156" t="str">
        <f aca="false">IF(OR(B503="",L503="Transfer"),"",IF(COUNTIFS($B$5:$B$604,B503,$H$5:$H$604,EDATE(H503,-1),$C$5:$C$604,"&gt;="&amp;C503*0.85,$C$5:$C$604,"&lt;="&amp;C503*1.15)&gt;0,"recurring",""))</f>
        <v/>
      </c>
      <c r="P503" s="157" t="str">
        <f aca="false">IF(B503="","",IF(COUNTIF(B503:$B$604,B503)=1,1,""))</f>
        <v/>
      </c>
      <c r="Q503" s="157" t="str">
        <f aca="false">IF(AND(O503="recurring",P503=1),COUNTIFS($O$5:O503,"recurring",$P$5:P503,1),"")</f>
        <v/>
      </c>
    </row>
    <row r="504" customFormat="false" ht="15" hidden="false" customHeight="false" outlineLevel="0" collapsed="false">
      <c r="A504" s="110"/>
      <c r="B504" s="108"/>
      <c r="C504" s="142"/>
      <c r="D504" s="108"/>
      <c r="E504" s="183" t="str">
        <f aca="false" t="array" ref="E504:E504">IF(B504="","",IFERROR(INDEX(Keywords!$B$5:$B$165,MAX(ISNUMBER(SEARCH(Keywords!$A$5:$A$165,B504))*(Keywords!$A$5:$A$165&lt;&gt;"")*ROW(Keywords!$A$5:$A$165))-4),""))</f>
        <v/>
      </c>
      <c r="F504" s="150" t="str">
        <f aca="false">IF(B504="","",IF(L504="Transfer","Transfer",IF(L504="Income","Income",IF(D504&lt;&gt;"",D504,IF(E504&lt;&gt;"",E504,"Uncategorized")))))</f>
        <v/>
      </c>
      <c r="G504" s="108"/>
      <c r="H504" s="184" t="str">
        <f aca="false">IF(A504="","",DATE(YEAR(A504),MONTH(A504),1))</f>
        <v/>
      </c>
      <c r="I504" s="185"/>
      <c r="J504" s="144"/>
      <c r="K504" s="159" t="str">
        <f aca="false">IF(C504="","",N(C504)/IF(N504&lt;&gt;"",N504,IF(J504="",1,IFERROR(INDEX(Setup!$C$23:$C$46,MATCH(J504,Setup!$A$23:$A$46,0)),1))))</f>
        <v/>
      </c>
      <c r="L504" s="144"/>
      <c r="M504" s="108"/>
      <c r="N504" s="111"/>
      <c r="O504" s="156" t="str">
        <f aca="false">IF(OR(B504="",L504="Transfer"),"",IF(COUNTIFS($B$5:$B$604,B504,$H$5:$H$604,EDATE(H504,-1),$C$5:$C$604,"&gt;="&amp;C504*0.85,$C$5:$C$604,"&lt;="&amp;C504*1.15)&gt;0,"recurring",""))</f>
        <v/>
      </c>
      <c r="P504" s="157" t="str">
        <f aca="false">IF(B504="","",IF(COUNTIF(B504:$B$604,B504)=1,1,""))</f>
        <v/>
      </c>
      <c r="Q504" s="157" t="str">
        <f aca="false">IF(AND(O504="recurring",P504=1),COUNTIFS($O$5:O504,"recurring",$P$5:P504,1),"")</f>
        <v/>
      </c>
    </row>
    <row r="505" customFormat="false" ht="15" hidden="false" customHeight="false" outlineLevel="0" collapsed="false">
      <c r="A505" s="110"/>
      <c r="B505" s="108"/>
      <c r="C505" s="142"/>
      <c r="D505" s="108"/>
      <c r="E505" s="183" t="str">
        <f aca="false" t="array" ref="E505:E505">IF(B505="","",IFERROR(INDEX(Keywords!$B$5:$B$165,MAX(ISNUMBER(SEARCH(Keywords!$A$5:$A$165,B505))*(Keywords!$A$5:$A$165&lt;&gt;"")*ROW(Keywords!$A$5:$A$165))-4),""))</f>
        <v/>
      </c>
      <c r="F505" s="150" t="str">
        <f aca="false">IF(B505="","",IF(L505="Transfer","Transfer",IF(L505="Income","Income",IF(D505&lt;&gt;"",D505,IF(E505&lt;&gt;"",E505,"Uncategorized")))))</f>
        <v/>
      </c>
      <c r="G505" s="108"/>
      <c r="H505" s="184" t="str">
        <f aca="false">IF(A505="","",DATE(YEAR(A505),MONTH(A505),1))</f>
        <v/>
      </c>
      <c r="I505" s="185"/>
      <c r="J505" s="144"/>
      <c r="K505" s="159" t="str">
        <f aca="false">IF(C505="","",N(C505)/IF(N505&lt;&gt;"",N505,IF(J505="",1,IFERROR(INDEX(Setup!$C$23:$C$46,MATCH(J505,Setup!$A$23:$A$46,0)),1))))</f>
        <v/>
      </c>
      <c r="L505" s="144"/>
      <c r="M505" s="108"/>
      <c r="N505" s="111"/>
      <c r="O505" s="156" t="str">
        <f aca="false">IF(OR(B505="",L505="Transfer"),"",IF(COUNTIFS($B$5:$B$604,B505,$H$5:$H$604,EDATE(H505,-1),$C$5:$C$604,"&gt;="&amp;C505*0.85,$C$5:$C$604,"&lt;="&amp;C505*1.15)&gt;0,"recurring",""))</f>
        <v/>
      </c>
      <c r="P505" s="157" t="str">
        <f aca="false">IF(B505="","",IF(COUNTIF(B505:$B$604,B505)=1,1,""))</f>
        <v/>
      </c>
      <c r="Q505" s="157" t="str">
        <f aca="false">IF(AND(O505="recurring",P505=1),COUNTIFS($O$5:O505,"recurring",$P$5:P505,1),"")</f>
        <v/>
      </c>
    </row>
    <row r="506" customFormat="false" ht="15" hidden="false" customHeight="false" outlineLevel="0" collapsed="false">
      <c r="A506" s="110"/>
      <c r="B506" s="108"/>
      <c r="C506" s="142"/>
      <c r="D506" s="108"/>
      <c r="E506" s="183" t="str">
        <f aca="false" t="array" ref="E506:E506">IF(B506="","",IFERROR(INDEX(Keywords!$B$5:$B$165,MAX(ISNUMBER(SEARCH(Keywords!$A$5:$A$165,B506))*(Keywords!$A$5:$A$165&lt;&gt;"")*ROW(Keywords!$A$5:$A$165))-4),""))</f>
        <v/>
      </c>
      <c r="F506" s="150" t="str">
        <f aca="false">IF(B506="","",IF(L506="Transfer","Transfer",IF(L506="Income","Income",IF(D506&lt;&gt;"",D506,IF(E506&lt;&gt;"",E506,"Uncategorized")))))</f>
        <v/>
      </c>
      <c r="G506" s="108"/>
      <c r="H506" s="184" t="str">
        <f aca="false">IF(A506="","",DATE(YEAR(A506),MONTH(A506),1))</f>
        <v/>
      </c>
      <c r="I506" s="185"/>
      <c r="J506" s="144"/>
      <c r="K506" s="159" t="str">
        <f aca="false">IF(C506="","",N(C506)/IF(N506&lt;&gt;"",N506,IF(J506="",1,IFERROR(INDEX(Setup!$C$23:$C$46,MATCH(J506,Setup!$A$23:$A$46,0)),1))))</f>
        <v/>
      </c>
      <c r="L506" s="144"/>
      <c r="M506" s="108"/>
      <c r="N506" s="111"/>
      <c r="O506" s="156" t="str">
        <f aca="false">IF(OR(B506="",L506="Transfer"),"",IF(COUNTIFS($B$5:$B$604,B506,$H$5:$H$604,EDATE(H506,-1),$C$5:$C$604,"&gt;="&amp;C506*0.85,$C$5:$C$604,"&lt;="&amp;C506*1.15)&gt;0,"recurring",""))</f>
        <v/>
      </c>
      <c r="P506" s="157" t="str">
        <f aca="false">IF(B506="","",IF(COUNTIF(B506:$B$604,B506)=1,1,""))</f>
        <v/>
      </c>
      <c r="Q506" s="157" t="str">
        <f aca="false">IF(AND(O506="recurring",P506=1),COUNTIFS($O$5:O506,"recurring",$P$5:P506,1),"")</f>
        <v/>
      </c>
    </row>
    <row r="507" customFormat="false" ht="15" hidden="false" customHeight="false" outlineLevel="0" collapsed="false">
      <c r="A507" s="110"/>
      <c r="B507" s="108"/>
      <c r="C507" s="142"/>
      <c r="D507" s="108"/>
      <c r="E507" s="183" t="str">
        <f aca="false" t="array" ref="E507:E507">IF(B507="","",IFERROR(INDEX(Keywords!$B$5:$B$165,MAX(ISNUMBER(SEARCH(Keywords!$A$5:$A$165,B507))*(Keywords!$A$5:$A$165&lt;&gt;"")*ROW(Keywords!$A$5:$A$165))-4),""))</f>
        <v/>
      </c>
      <c r="F507" s="150" t="str">
        <f aca="false">IF(B507="","",IF(L507="Transfer","Transfer",IF(L507="Income","Income",IF(D507&lt;&gt;"",D507,IF(E507&lt;&gt;"",E507,"Uncategorized")))))</f>
        <v/>
      </c>
      <c r="G507" s="108"/>
      <c r="H507" s="184" t="str">
        <f aca="false">IF(A507="","",DATE(YEAR(A507),MONTH(A507),1))</f>
        <v/>
      </c>
      <c r="I507" s="185"/>
      <c r="J507" s="144"/>
      <c r="K507" s="159" t="str">
        <f aca="false">IF(C507="","",N(C507)/IF(N507&lt;&gt;"",N507,IF(J507="",1,IFERROR(INDEX(Setup!$C$23:$C$46,MATCH(J507,Setup!$A$23:$A$46,0)),1))))</f>
        <v/>
      </c>
      <c r="L507" s="144"/>
      <c r="M507" s="108"/>
      <c r="N507" s="111"/>
      <c r="O507" s="156" t="str">
        <f aca="false">IF(OR(B507="",L507="Transfer"),"",IF(COUNTIFS($B$5:$B$604,B507,$H$5:$H$604,EDATE(H507,-1),$C$5:$C$604,"&gt;="&amp;C507*0.85,$C$5:$C$604,"&lt;="&amp;C507*1.15)&gt;0,"recurring",""))</f>
        <v/>
      </c>
      <c r="P507" s="157" t="str">
        <f aca="false">IF(B507="","",IF(COUNTIF(B507:$B$604,B507)=1,1,""))</f>
        <v/>
      </c>
      <c r="Q507" s="157" t="str">
        <f aca="false">IF(AND(O507="recurring",P507=1),COUNTIFS($O$5:O507,"recurring",$P$5:P507,1),"")</f>
        <v/>
      </c>
    </row>
    <row r="508" customFormat="false" ht="15" hidden="false" customHeight="false" outlineLevel="0" collapsed="false">
      <c r="A508" s="110"/>
      <c r="B508" s="108"/>
      <c r="C508" s="142"/>
      <c r="D508" s="108"/>
      <c r="E508" s="183" t="str">
        <f aca="false" t="array" ref="E508:E508">IF(B508="","",IFERROR(INDEX(Keywords!$B$5:$B$165,MAX(ISNUMBER(SEARCH(Keywords!$A$5:$A$165,B508))*(Keywords!$A$5:$A$165&lt;&gt;"")*ROW(Keywords!$A$5:$A$165))-4),""))</f>
        <v/>
      </c>
      <c r="F508" s="150" t="str">
        <f aca="false">IF(B508="","",IF(L508="Transfer","Transfer",IF(L508="Income","Income",IF(D508&lt;&gt;"",D508,IF(E508&lt;&gt;"",E508,"Uncategorized")))))</f>
        <v/>
      </c>
      <c r="G508" s="108"/>
      <c r="H508" s="184" t="str">
        <f aca="false">IF(A508="","",DATE(YEAR(A508),MONTH(A508),1))</f>
        <v/>
      </c>
      <c r="I508" s="185"/>
      <c r="J508" s="144"/>
      <c r="K508" s="159" t="str">
        <f aca="false">IF(C508="","",N(C508)/IF(N508&lt;&gt;"",N508,IF(J508="",1,IFERROR(INDEX(Setup!$C$23:$C$46,MATCH(J508,Setup!$A$23:$A$46,0)),1))))</f>
        <v/>
      </c>
      <c r="L508" s="144"/>
      <c r="M508" s="108"/>
      <c r="N508" s="111"/>
      <c r="O508" s="156" t="str">
        <f aca="false">IF(OR(B508="",L508="Transfer"),"",IF(COUNTIFS($B$5:$B$604,B508,$H$5:$H$604,EDATE(H508,-1),$C$5:$C$604,"&gt;="&amp;C508*0.85,$C$5:$C$604,"&lt;="&amp;C508*1.15)&gt;0,"recurring",""))</f>
        <v/>
      </c>
      <c r="P508" s="157" t="str">
        <f aca="false">IF(B508="","",IF(COUNTIF(B508:$B$604,B508)=1,1,""))</f>
        <v/>
      </c>
      <c r="Q508" s="157" t="str">
        <f aca="false">IF(AND(O508="recurring",P508=1),COUNTIFS($O$5:O508,"recurring",$P$5:P508,1),"")</f>
        <v/>
      </c>
    </row>
    <row r="509" customFormat="false" ht="15" hidden="false" customHeight="false" outlineLevel="0" collapsed="false">
      <c r="A509" s="110"/>
      <c r="B509" s="108"/>
      <c r="C509" s="142"/>
      <c r="D509" s="108"/>
      <c r="E509" s="183" t="str">
        <f aca="false" t="array" ref="E509:E509">IF(B509="","",IFERROR(INDEX(Keywords!$B$5:$B$165,MAX(ISNUMBER(SEARCH(Keywords!$A$5:$A$165,B509))*(Keywords!$A$5:$A$165&lt;&gt;"")*ROW(Keywords!$A$5:$A$165))-4),""))</f>
        <v/>
      </c>
      <c r="F509" s="150" t="str">
        <f aca="false">IF(B509="","",IF(L509="Transfer","Transfer",IF(L509="Income","Income",IF(D509&lt;&gt;"",D509,IF(E509&lt;&gt;"",E509,"Uncategorized")))))</f>
        <v/>
      </c>
      <c r="G509" s="108"/>
      <c r="H509" s="184" t="str">
        <f aca="false">IF(A509="","",DATE(YEAR(A509),MONTH(A509),1))</f>
        <v/>
      </c>
      <c r="I509" s="185"/>
      <c r="J509" s="144"/>
      <c r="K509" s="159" t="str">
        <f aca="false">IF(C509="","",N(C509)/IF(N509&lt;&gt;"",N509,IF(J509="",1,IFERROR(INDEX(Setup!$C$23:$C$46,MATCH(J509,Setup!$A$23:$A$46,0)),1))))</f>
        <v/>
      </c>
      <c r="L509" s="144"/>
      <c r="M509" s="108"/>
      <c r="N509" s="111"/>
      <c r="O509" s="156" t="str">
        <f aca="false">IF(OR(B509="",L509="Transfer"),"",IF(COUNTIFS($B$5:$B$604,B509,$H$5:$H$604,EDATE(H509,-1),$C$5:$C$604,"&gt;="&amp;C509*0.85,$C$5:$C$604,"&lt;="&amp;C509*1.15)&gt;0,"recurring",""))</f>
        <v/>
      </c>
      <c r="P509" s="157" t="str">
        <f aca="false">IF(B509="","",IF(COUNTIF(B509:$B$604,B509)=1,1,""))</f>
        <v/>
      </c>
      <c r="Q509" s="157" t="str">
        <f aca="false">IF(AND(O509="recurring",P509=1),COUNTIFS($O$5:O509,"recurring",$P$5:P509,1),"")</f>
        <v/>
      </c>
    </row>
    <row r="510" customFormat="false" ht="15" hidden="false" customHeight="false" outlineLevel="0" collapsed="false">
      <c r="A510" s="110"/>
      <c r="B510" s="108"/>
      <c r="C510" s="142"/>
      <c r="D510" s="108"/>
      <c r="E510" s="183" t="str">
        <f aca="false" t="array" ref="E510:E510">IF(B510="","",IFERROR(INDEX(Keywords!$B$5:$B$165,MAX(ISNUMBER(SEARCH(Keywords!$A$5:$A$165,B510))*(Keywords!$A$5:$A$165&lt;&gt;"")*ROW(Keywords!$A$5:$A$165))-4),""))</f>
        <v/>
      </c>
      <c r="F510" s="150" t="str">
        <f aca="false">IF(B510="","",IF(L510="Transfer","Transfer",IF(L510="Income","Income",IF(D510&lt;&gt;"",D510,IF(E510&lt;&gt;"",E510,"Uncategorized")))))</f>
        <v/>
      </c>
      <c r="G510" s="108"/>
      <c r="H510" s="184" t="str">
        <f aca="false">IF(A510="","",DATE(YEAR(A510),MONTH(A510),1))</f>
        <v/>
      </c>
      <c r="I510" s="185"/>
      <c r="J510" s="144"/>
      <c r="K510" s="159" t="str">
        <f aca="false">IF(C510="","",N(C510)/IF(N510&lt;&gt;"",N510,IF(J510="",1,IFERROR(INDEX(Setup!$C$23:$C$46,MATCH(J510,Setup!$A$23:$A$46,0)),1))))</f>
        <v/>
      </c>
      <c r="L510" s="144"/>
      <c r="M510" s="108"/>
      <c r="N510" s="111"/>
      <c r="O510" s="156" t="str">
        <f aca="false">IF(OR(B510="",L510="Transfer"),"",IF(COUNTIFS($B$5:$B$604,B510,$H$5:$H$604,EDATE(H510,-1),$C$5:$C$604,"&gt;="&amp;C510*0.85,$C$5:$C$604,"&lt;="&amp;C510*1.15)&gt;0,"recurring",""))</f>
        <v/>
      </c>
      <c r="P510" s="157" t="str">
        <f aca="false">IF(B510="","",IF(COUNTIF(B510:$B$604,B510)=1,1,""))</f>
        <v/>
      </c>
      <c r="Q510" s="157" t="str">
        <f aca="false">IF(AND(O510="recurring",P510=1),COUNTIFS($O$5:O510,"recurring",$P$5:P510,1),"")</f>
        <v/>
      </c>
    </row>
    <row r="511" customFormat="false" ht="15" hidden="false" customHeight="false" outlineLevel="0" collapsed="false">
      <c r="A511" s="110"/>
      <c r="B511" s="108"/>
      <c r="C511" s="142"/>
      <c r="D511" s="108"/>
      <c r="E511" s="183" t="str">
        <f aca="false" t="array" ref="E511:E511">IF(B511="","",IFERROR(INDEX(Keywords!$B$5:$B$165,MAX(ISNUMBER(SEARCH(Keywords!$A$5:$A$165,B511))*(Keywords!$A$5:$A$165&lt;&gt;"")*ROW(Keywords!$A$5:$A$165))-4),""))</f>
        <v/>
      </c>
      <c r="F511" s="150" t="str">
        <f aca="false">IF(B511="","",IF(L511="Transfer","Transfer",IF(L511="Income","Income",IF(D511&lt;&gt;"",D511,IF(E511&lt;&gt;"",E511,"Uncategorized")))))</f>
        <v/>
      </c>
      <c r="G511" s="108"/>
      <c r="H511" s="184" t="str">
        <f aca="false">IF(A511="","",DATE(YEAR(A511),MONTH(A511),1))</f>
        <v/>
      </c>
      <c r="I511" s="185"/>
      <c r="J511" s="144"/>
      <c r="K511" s="159" t="str">
        <f aca="false">IF(C511="","",N(C511)/IF(N511&lt;&gt;"",N511,IF(J511="",1,IFERROR(INDEX(Setup!$C$23:$C$46,MATCH(J511,Setup!$A$23:$A$46,0)),1))))</f>
        <v/>
      </c>
      <c r="L511" s="144"/>
      <c r="M511" s="108"/>
      <c r="N511" s="111"/>
      <c r="O511" s="156" t="str">
        <f aca="false">IF(OR(B511="",L511="Transfer"),"",IF(COUNTIFS($B$5:$B$604,B511,$H$5:$H$604,EDATE(H511,-1),$C$5:$C$604,"&gt;="&amp;C511*0.85,$C$5:$C$604,"&lt;="&amp;C511*1.15)&gt;0,"recurring",""))</f>
        <v/>
      </c>
      <c r="P511" s="157" t="str">
        <f aca="false">IF(B511="","",IF(COUNTIF(B511:$B$604,B511)=1,1,""))</f>
        <v/>
      </c>
      <c r="Q511" s="157" t="str">
        <f aca="false">IF(AND(O511="recurring",P511=1),COUNTIFS($O$5:O511,"recurring",$P$5:P511,1),"")</f>
        <v/>
      </c>
    </row>
    <row r="512" customFormat="false" ht="15" hidden="false" customHeight="false" outlineLevel="0" collapsed="false">
      <c r="A512" s="110"/>
      <c r="B512" s="108"/>
      <c r="C512" s="142"/>
      <c r="D512" s="108"/>
      <c r="E512" s="183" t="str">
        <f aca="false" t="array" ref="E512:E512">IF(B512="","",IFERROR(INDEX(Keywords!$B$5:$B$165,MAX(ISNUMBER(SEARCH(Keywords!$A$5:$A$165,B512))*(Keywords!$A$5:$A$165&lt;&gt;"")*ROW(Keywords!$A$5:$A$165))-4),""))</f>
        <v/>
      </c>
      <c r="F512" s="150" t="str">
        <f aca="false">IF(B512="","",IF(L512="Transfer","Transfer",IF(L512="Income","Income",IF(D512&lt;&gt;"",D512,IF(E512&lt;&gt;"",E512,"Uncategorized")))))</f>
        <v/>
      </c>
      <c r="G512" s="108"/>
      <c r="H512" s="184" t="str">
        <f aca="false">IF(A512="","",DATE(YEAR(A512),MONTH(A512),1))</f>
        <v/>
      </c>
      <c r="I512" s="185"/>
      <c r="J512" s="144"/>
      <c r="K512" s="159" t="str">
        <f aca="false">IF(C512="","",N(C512)/IF(N512&lt;&gt;"",N512,IF(J512="",1,IFERROR(INDEX(Setup!$C$23:$C$46,MATCH(J512,Setup!$A$23:$A$46,0)),1))))</f>
        <v/>
      </c>
      <c r="L512" s="144"/>
      <c r="M512" s="108"/>
      <c r="N512" s="111"/>
      <c r="O512" s="156" t="str">
        <f aca="false">IF(OR(B512="",L512="Transfer"),"",IF(COUNTIFS($B$5:$B$604,B512,$H$5:$H$604,EDATE(H512,-1),$C$5:$C$604,"&gt;="&amp;C512*0.85,$C$5:$C$604,"&lt;="&amp;C512*1.15)&gt;0,"recurring",""))</f>
        <v/>
      </c>
      <c r="P512" s="157" t="str">
        <f aca="false">IF(B512="","",IF(COUNTIF(B512:$B$604,B512)=1,1,""))</f>
        <v/>
      </c>
      <c r="Q512" s="157" t="str">
        <f aca="false">IF(AND(O512="recurring",P512=1),COUNTIFS($O$5:O512,"recurring",$P$5:P512,1),"")</f>
        <v/>
      </c>
    </row>
    <row r="513" customFormat="false" ht="15" hidden="false" customHeight="false" outlineLevel="0" collapsed="false">
      <c r="A513" s="110"/>
      <c r="B513" s="108"/>
      <c r="C513" s="142"/>
      <c r="D513" s="108"/>
      <c r="E513" s="183" t="str">
        <f aca="false" t="array" ref="E513:E513">IF(B513="","",IFERROR(INDEX(Keywords!$B$5:$B$165,MAX(ISNUMBER(SEARCH(Keywords!$A$5:$A$165,B513))*(Keywords!$A$5:$A$165&lt;&gt;"")*ROW(Keywords!$A$5:$A$165))-4),""))</f>
        <v/>
      </c>
      <c r="F513" s="150" t="str">
        <f aca="false">IF(B513="","",IF(L513="Transfer","Transfer",IF(L513="Income","Income",IF(D513&lt;&gt;"",D513,IF(E513&lt;&gt;"",E513,"Uncategorized")))))</f>
        <v/>
      </c>
      <c r="G513" s="108"/>
      <c r="H513" s="184" t="str">
        <f aca="false">IF(A513="","",DATE(YEAR(A513),MONTH(A513),1))</f>
        <v/>
      </c>
      <c r="I513" s="185"/>
      <c r="J513" s="144"/>
      <c r="K513" s="159" t="str">
        <f aca="false">IF(C513="","",N(C513)/IF(N513&lt;&gt;"",N513,IF(J513="",1,IFERROR(INDEX(Setup!$C$23:$C$46,MATCH(J513,Setup!$A$23:$A$46,0)),1))))</f>
        <v/>
      </c>
      <c r="L513" s="144"/>
      <c r="M513" s="108"/>
      <c r="N513" s="111"/>
      <c r="O513" s="156" t="str">
        <f aca="false">IF(OR(B513="",L513="Transfer"),"",IF(COUNTIFS($B$5:$B$604,B513,$H$5:$H$604,EDATE(H513,-1),$C$5:$C$604,"&gt;="&amp;C513*0.85,$C$5:$C$604,"&lt;="&amp;C513*1.15)&gt;0,"recurring",""))</f>
        <v/>
      </c>
      <c r="P513" s="157" t="str">
        <f aca="false">IF(B513="","",IF(COUNTIF(B513:$B$604,B513)=1,1,""))</f>
        <v/>
      </c>
      <c r="Q513" s="157" t="str">
        <f aca="false">IF(AND(O513="recurring",P513=1),COUNTIFS($O$5:O513,"recurring",$P$5:P513,1),"")</f>
        <v/>
      </c>
    </row>
    <row r="514" customFormat="false" ht="15" hidden="false" customHeight="false" outlineLevel="0" collapsed="false">
      <c r="A514" s="110"/>
      <c r="B514" s="108"/>
      <c r="C514" s="142"/>
      <c r="D514" s="108"/>
      <c r="E514" s="183" t="str">
        <f aca="false" t="array" ref="E514:E514">IF(B514="","",IFERROR(INDEX(Keywords!$B$5:$B$165,MAX(ISNUMBER(SEARCH(Keywords!$A$5:$A$165,B514))*(Keywords!$A$5:$A$165&lt;&gt;"")*ROW(Keywords!$A$5:$A$165))-4),""))</f>
        <v/>
      </c>
      <c r="F514" s="150" t="str">
        <f aca="false">IF(B514="","",IF(L514="Transfer","Transfer",IF(L514="Income","Income",IF(D514&lt;&gt;"",D514,IF(E514&lt;&gt;"",E514,"Uncategorized")))))</f>
        <v/>
      </c>
      <c r="G514" s="108"/>
      <c r="H514" s="184" t="str">
        <f aca="false">IF(A514="","",DATE(YEAR(A514),MONTH(A514),1))</f>
        <v/>
      </c>
      <c r="I514" s="185"/>
      <c r="J514" s="144"/>
      <c r="K514" s="159" t="str">
        <f aca="false">IF(C514="","",N(C514)/IF(N514&lt;&gt;"",N514,IF(J514="",1,IFERROR(INDEX(Setup!$C$23:$C$46,MATCH(J514,Setup!$A$23:$A$46,0)),1))))</f>
        <v/>
      </c>
      <c r="L514" s="144"/>
      <c r="M514" s="108"/>
      <c r="N514" s="111"/>
      <c r="O514" s="156" t="str">
        <f aca="false">IF(OR(B514="",L514="Transfer"),"",IF(COUNTIFS($B$5:$B$604,B514,$H$5:$H$604,EDATE(H514,-1),$C$5:$C$604,"&gt;="&amp;C514*0.85,$C$5:$C$604,"&lt;="&amp;C514*1.15)&gt;0,"recurring",""))</f>
        <v/>
      </c>
      <c r="P514" s="157" t="str">
        <f aca="false">IF(B514="","",IF(COUNTIF(B514:$B$604,B514)=1,1,""))</f>
        <v/>
      </c>
      <c r="Q514" s="157" t="str">
        <f aca="false">IF(AND(O514="recurring",P514=1),COUNTIFS($O$5:O514,"recurring",$P$5:P514,1),"")</f>
        <v/>
      </c>
    </row>
    <row r="515" customFormat="false" ht="15" hidden="false" customHeight="false" outlineLevel="0" collapsed="false">
      <c r="A515" s="110"/>
      <c r="B515" s="108"/>
      <c r="C515" s="142"/>
      <c r="D515" s="108"/>
      <c r="E515" s="183" t="str">
        <f aca="false" t="array" ref="E515:E515">IF(B515="","",IFERROR(INDEX(Keywords!$B$5:$B$165,MAX(ISNUMBER(SEARCH(Keywords!$A$5:$A$165,B515))*(Keywords!$A$5:$A$165&lt;&gt;"")*ROW(Keywords!$A$5:$A$165))-4),""))</f>
        <v/>
      </c>
      <c r="F515" s="150" t="str">
        <f aca="false">IF(B515="","",IF(L515="Transfer","Transfer",IF(L515="Income","Income",IF(D515&lt;&gt;"",D515,IF(E515&lt;&gt;"",E515,"Uncategorized")))))</f>
        <v/>
      </c>
      <c r="G515" s="108"/>
      <c r="H515" s="184" t="str">
        <f aca="false">IF(A515="","",DATE(YEAR(A515),MONTH(A515),1))</f>
        <v/>
      </c>
      <c r="I515" s="185"/>
      <c r="J515" s="144"/>
      <c r="K515" s="159" t="str">
        <f aca="false">IF(C515="","",N(C515)/IF(N515&lt;&gt;"",N515,IF(J515="",1,IFERROR(INDEX(Setup!$C$23:$C$46,MATCH(J515,Setup!$A$23:$A$46,0)),1))))</f>
        <v/>
      </c>
      <c r="L515" s="144"/>
      <c r="M515" s="108"/>
      <c r="N515" s="111"/>
      <c r="O515" s="156" t="str">
        <f aca="false">IF(OR(B515="",L515="Transfer"),"",IF(COUNTIFS($B$5:$B$604,B515,$H$5:$H$604,EDATE(H515,-1),$C$5:$C$604,"&gt;="&amp;C515*0.85,$C$5:$C$604,"&lt;="&amp;C515*1.15)&gt;0,"recurring",""))</f>
        <v/>
      </c>
      <c r="P515" s="157" t="str">
        <f aca="false">IF(B515="","",IF(COUNTIF(B515:$B$604,B515)=1,1,""))</f>
        <v/>
      </c>
      <c r="Q515" s="157" t="str">
        <f aca="false">IF(AND(O515="recurring",P515=1),COUNTIFS($O$5:O515,"recurring",$P$5:P515,1),"")</f>
        <v/>
      </c>
    </row>
    <row r="516" customFormat="false" ht="15" hidden="false" customHeight="false" outlineLevel="0" collapsed="false">
      <c r="A516" s="110"/>
      <c r="B516" s="108"/>
      <c r="C516" s="142"/>
      <c r="D516" s="108"/>
      <c r="E516" s="183" t="str">
        <f aca="false" t="array" ref="E516:E516">IF(B516="","",IFERROR(INDEX(Keywords!$B$5:$B$165,MAX(ISNUMBER(SEARCH(Keywords!$A$5:$A$165,B516))*(Keywords!$A$5:$A$165&lt;&gt;"")*ROW(Keywords!$A$5:$A$165))-4),""))</f>
        <v/>
      </c>
      <c r="F516" s="150" t="str">
        <f aca="false">IF(B516="","",IF(L516="Transfer","Transfer",IF(L516="Income","Income",IF(D516&lt;&gt;"",D516,IF(E516&lt;&gt;"",E516,"Uncategorized")))))</f>
        <v/>
      </c>
      <c r="G516" s="108"/>
      <c r="H516" s="184" t="str">
        <f aca="false">IF(A516="","",DATE(YEAR(A516),MONTH(A516),1))</f>
        <v/>
      </c>
      <c r="I516" s="185"/>
      <c r="J516" s="144"/>
      <c r="K516" s="159" t="str">
        <f aca="false">IF(C516="","",N(C516)/IF(N516&lt;&gt;"",N516,IF(J516="",1,IFERROR(INDEX(Setup!$C$23:$C$46,MATCH(J516,Setup!$A$23:$A$46,0)),1))))</f>
        <v/>
      </c>
      <c r="L516" s="144"/>
      <c r="M516" s="108"/>
      <c r="N516" s="111"/>
      <c r="O516" s="156" t="str">
        <f aca="false">IF(OR(B516="",L516="Transfer"),"",IF(COUNTIFS($B$5:$B$604,B516,$H$5:$H$604,EDATE(H516,-1),$C$5:$C$604,"&gt;="&amp;C516*0.85,$C$5:$C$604,"&lt;="&amp;C516*1.15)&gt;0,"recurring",""))</f>
        <v/>
      </c>
      <c r="P516" s="157" t="str">
        <f aca="false">IF(B516="","",IF(COUNTIF(B516:$B$604,B516)=1,1,""))</f>
        <v/>
      </c>
      <c r="Q516" s="157" t="str">
        <f aca="false">IF(AND(O516="recurring",P516=1),COUNTIFS($O$5:O516,"recurring",$P$5:P516,1),"")</f>
        <v/>
      </c>
    </row>
    <row r="517" customFormat="false" ht="15" hidden="false" customHeight="false" outlineLevel="0" collapsed="false">
      <c r="A517" s="110"/>
      <c r="B517" s="108"/>
      <c r="C517" s="142"/>
      <c r="D517" s="108"/>
      <c r="E517" s="183" t="str">
        <f aca="false" t="array" ref="E517:E517">IF(B517="","",IFERROR(INDEX(Keywords!$B$5:$B$165,MAX(ISNUMBER(SEARCH(Keywords!$A$5:$A$165,B517))*(Keywords!$A$5:$A$165&lt;&gt;"")*ROW(Keywords!$A$5:$A$165))-4),""))</f>
        <v/>
      </c>
      <c r="F517" s="150" t="str">
        <f aca="false">IF(B517="","",IF(L517="Transfer","Transfer",IF(L517="Income","Income",IF(D517&lt;&gt;"",D517,IF(E517&lt;&gt;"",E517,"Uncategorized")))))</f>
        <v/>
      </c>
      <c r="G517" s="108"/>
      <c r="H517" s="184" t="str">
        <f aca="false">IF(A517="","",DATE(YEAR(A517),MONTH(A517),1))</f>
        <v/>
      </c>
      <c r="I517" s="185"/>
      <c r="J517" s="144"/>
      <c r="K517" s="159" t="str">
        <f aca="false">IF(C517="","",N(C517)/IF(N517&lt;&gt;"",N517,IF(J517="",1,IFERROR(INDEX(Setup!$C$23:$C$46,MATCH(J517,Setup!$A$23:$A$46,0)),1))))</f>
        <v/>
      </c>
      <c r="L517" s="144"/>
      <c r="M517" s="108"/>
      <c r="N517" s="111"/>
      <c r="O517" s="156" t="str">
        <f aca="false">IF(OR(B517="",L517="Transfer"),"",IF(COUNTIFS($B$5:$B$604,B517,$H$5:$H$604,EDATE(H517,-1),$C$5:$C$604,"&gt;="&amp;C517*0.85,$C$5:$C$604,"&lt;="&amp;C517*1.15)&gt;0,"recurring",""))</f>
        <v/>
      </c>
      <c r="P517" s="157" t="str">
        <f aca="false">IF(B517="","",IF(COUNTIF(B517:$B$604,B517)=1,1,""))</f>
        <v/>
      </c>
      <c r="Q517" s="157" t="str">
        <f aca="false">IF(AND(O517="recurring",P517=1),COUNTIFS($O$5:O517,"recurring",$P$5:P517,1),"")</f>
        <v/>
      </c>
    </row>
    <row r="518" customFormat="false" ht="15" hidden="false" customHeight="false" outlineLevel="0" collapsed="false">
      <c r="A518" s="110"/>
      <c r="B518" s="108"/>
      <c r="C518" s="142"/>
      <c r="D518" s="108"/>
      <c r="E518" s="183" t="str">
        <f aca="false" t="array" ref="E518:E518">IF(B518="","",IFERROR(INDEX(Keywords!$B$5:$B$165,MAX(ISNUMBER(SEARCH(Keywords!$A$5:$A$165,B518))*(Keywords!$A$5:$A$165&lt;&gt;"")*ROW(Keywords!$A$5:$A$165))-4),""))</f>
        <v/>
      </c>
      <c r="F518" s="150" t="str">
        <f aca="false">IF(B518="","",IF(L518="Transfer","Transfer",IF(L518="Income","Income",IF(D518&lt;&gt;"",D518,IF(E518&lt;&gt;"",E518,"Uncategorized")))))</f>
        <v/>
      </c>
      <c r="G518" s="108"/>
      <c r="H518" s="184" t="str">
        <f aca="false">IF(A518="","",DATE(YEAR(A518),MONTH(A518),1))</f>
        <v/>
      </c>
      <c r="I518" s="185"/>
      <c r="J518" s="144"/>
      <c r="K518" s="159" t="str">
        <f aca="false">IF(C518="","",N(C518)/IF(N518&lt;&gt;"",N518,IF(J518="",1,IFERROR(INDEX(Setup!$C$23:$C$46,MATCH(J518,Setup!$A$23:$A$46,0)),1))))</f>
        <v/>
      </c>
      <c r="L518" s="144"/>
      <c r="M518" s="108"/>
      <c r="N518" s="111"/>
      <c r="O518" s="156" t="str">
        <f aca="false">IF(OR(B518="",L518="Transfer"),"",IF(COUNTIFS($B$5:$B$604,B518,$H$5:$H$604,EDATE(H518,-1),$C$5:$C$604,"&gt;="&amp;C518*0.85,$C$5:$C$604,"&lt;="&amp;C518*1.15)&gt;0,"recurring",""))</f>
        <v/>
      </c>
      <c r="P518" s="157" t="str">
        <f aca="false">IF(B518="","",IF(COUNTIF(B518:$B$604,B518)=1,1,""))</f>
        <v/>
      </c>
      <c r="Q518" s="157" t="str">
        <f aca="false">IF(AND(O518="recurring",P518=1),COUNTIFS($O$5:O518,"recurring",$P$5:P518,1),"")</f>
        <v/>
      </c>
    </row>
    <row r="519" customFormat="false" ht="15" hidden="false" customHeight="false" outlineLevel="0" collapsed="false">
      <c r="A519" s="110"/>
      <c r="B519" s="108"/>
      <c r="C519" s="142"/>
      <c r="D519" s="108"/>
      <c r="E519" s="183" t="str">
        <f aca="false" t="array" ref="E519:E519">IF(B519="","",IFERROR(INDEX(Keywords!$B$5:$B$165,MAX(ISNUMBER(SEARCH(Keywords!$A$5:$A$165,B519))*(Keywords!$A$5:$A$165&lt;&gt;"")*ROW(Keywords!$A$5:$A$165))-4),""))</f>
        <v/>
      </c>
      <c r="F519" s="150" t="str">
        <f aca="false">IF(B519="","",IF(L519="Transfer","Transfer",IF(L519="Income","Income",IF(D519&lt;&gt;"",D519,IF(E519&lt;&gt;"",E519,"Uncategorized")))))</f>
        <v/>
      </c>
      <c r="G519" s="108"/>
      <c r="H519" s="184" t="str">
        <f aca="false">IF(A519="","",DATE(YEAR(A519),MONTH(A519),1))</f>
        <v/>
      </c>
      <c r="I519" s="185"/>
      <c r="J519" s="144"/>
      <c r="K519" s="159" t="str">
        <f aca="false">IF(C519="","",N(C519)/IF(N519&lt;&gt;"",N519,IF(J519="",1,IFERROR(INDEX(Setup!$C$23:$C$46,MATCH(J519,Setup!$A$23:$A$46,0)),1))))</f>
        <v/>
      </c>
      <c r="L519" s="144"/>
      <c r="M519" s="108"/>
      <c r="N519" s="111"/>
      <c r="O519" s="156" t="str">
        <f aca="false">IF(OR(B519="",L519="Transfer"),"",IF(COUNTIFS($B$5:$B$604,B519,$H$5:$H$604,EDATE(H519,-1),$C$5:$C$604,"&gt;="&amp;C519*0.85,$C$5:$C$604,"&lt;="&amp;C519*1.15)&gt;0,"recurring",""))</f>
        <v/>
      </c>
      <c r="P519" s="157" t="str">
        <f aca="false">IF(B519="","",IF(COUNTIF(B519:$B$604,B519)=1,1,""))</f>
        <v/>
      </c>
      <c r="Q519" s="157" t="str">
        <f aca="false">IF(AND(O519="recurring",P519=1),COUNTIFS($O$5:O519,"recurring",$P$5:P519,1),"")</f>
        <v/>
      </c>
    </row>
    <row r="520" customFormat="false" ht="15" hidden="false" customHeight="false" outlineLevel="0" collapsed="false">
      <c r="A520" s="110"/>
      <c r="B520" s="108"/>
      <c r="C520" s="142"/>
      <c r="D520" s="108"/>
      <c r="E520" s="183" t="str">
        <f aca="false" t="array" ref="E520:E520">IF(B520="","",IFERROR(INDEX(Keywords!$B$5:$B$165,MAX(ISNUMBER(SEARCH(Keywords!$A$5:$A$165,B520))*(Keywords!$A$5:$A$165&lt;&gt;"")*ROW(Keywords!$A$5:$A$165))-4),""))</f>
        <v/>
      </c>
      <c r="F520" s="150" t="str">
        <f aca="false">IF(B520="","",IF(L520="Transfer","Transfer",IF(L520="Income","Income",IF(D520&lt;&gt;"",D520,IF(E520&lt;&gt;"",E520,"Uncategorized")))))</f>
        <v/>
      </c>
      <c r="G520" s="108"/>
      <c r="H520" s="184" t="str">
        <f aca="false">IF(A520="","",DATE(YEAR(A520),MONTH(A520),1))</f>
        <v/>
      </c>
      <c r="I520" s="185"/>
      <c r="J520" s="144"/>
      <c r="K520" s="159" t="str">
        <f aca="false">IF(C520="","",N(C520)/IF(N520&lt;&gt;"",N520,IF(J520="",1,IFERROR(INDEX(Setup!$C$23:$C$46,MATCH(J520,Setup!$A$23:$A$46,0)),1))))</f>
        <v/>
      </c>
      <c r="L520" s="144"/>
      <c r="M520" s="108"/>
      <c r="N520" s="111"/>
      <c r="O520" s="156" t="str">
        <f aca="false">IF(OR(B520="",L520="Transfer"),"",IF(COUNTIFS($B$5:$B$604,B520,$H$5:$H$604,EDATE(H520,-1),$C$5:$C$604,"&gt;="&amp;C520*0.85,$C$5:$C$604,"&lt;="&amp;C520*1.15)&gt;0,"recurring",""))</f>
        <v/>
      </c>
      <c r="P520" s="157" t="str">
        <f aca="false">IF(B520="","",IF(COUNTIF(B520:$B$604,B520)=1,1,""))</f>
        <v/>
      </c>
      <c r="Q520" s="157" t="str">
        <f aca="false">IF(AND(O520="recurring",P520=1),COUNTIFS($O$5:O520,"recurring",$P$5:P520,1),"")</f>
        <v/>
      </c>
    </row>
    <row r="521" customFormat="false" ht="15" hidden="false" customHeight="false" outlineLevel="0" collapsed="false">
      <c r="A521" s="110"/>
      <c r="B521" s="108"/>
      <c r="C521" s="142"/>
      <c r="D521" s="108"/>
      <c r="E521" s="183" t="str">
        <f aca="false" t="array" ref="E521:E521">IF(B521="","",IFERROR(INDEX(Keywords!$B$5:$B$165,MAX(ISNUMBER(SEARCH(Keywords!$A$5:$A$165,B521))*(Keywords!$A$5:$A$165&lt;&gt;"")*ROW(Keywords!$A$5:$A$165))-4),""))</f>
        <v/>
      </c>
      <c r="F521" s="150" t="str">
        <f aca="false">IF(B521="","",IF(L521="Transfer","Transfer",IF(L521="Income","Income",IF(D521&lt;&gt;"",D521,IF(E521&lt;&gt;"",E521,"Uncategorized")))))</f>
        <v/>
      </c>
      <c r="G521" s="108"/>
      <c r="H521" s="184" t="str">
        <f aca="false">IF(A521="","",DATE(YEAR(A521),MONTH(A521),1))</f>
        <v/>
      </c>
      <c r="I521" s="185"/>
      <c r="J521" s="144"/>
      <c r="K521" s="159" t="str">
        <f aca="false">IF(C521="","",N(C521)/IF(N521&lt;&gt;"",N521,IF(J521="",1,IFERROR(INDEX(Setup!$C$23:$C$46,MATCH(J521,Setup!$A$23:$A$46,0)),1))))</f>
        <v/>
      </c>
      <c r="L521" s="144"/>
      <c r="M521" s="108"/>
      <c r="N521" s="111"/>
      <c r="O521" s="156" t="str">
        <f aca="false">IF(OR(B521="",L521="Transfer"),"",IF(COUNTIFS($B$5:$B$604,B521,$H$5:$H$604,EDATE(H521,-1),$C$5:$C$604,"&gt;="&amp;C521*0.85,$C$5:$C$604,"&lt;="&amp;C521*1.15)&gt;0,"recurring",""))</f>
        <v/>
      </c>
      <c r="P521" s="157" t="str">
        <f aca="false">IF(B521="","",IF(COUNTIF(B521:$B$604,B521)=1,1,""))</f>
        <v/>
      </c>
      <c r="Q521" s="157" t="str">
        <f aca="false">IF(AND(O521="recurring",P521=1),COUNTIFS($O$5:O521,"recurring",$P$5:P521,1),"")</f>
        <v/>
      </c>
    </row>
    <row r="522" customFormat="false" ht="15" hidden="false" customHeight="false" outlineLevel="0" collapsed="false">
      <c r="A522" s="110"/>
      <c r="B522" s="108"/>
      <c r="C522" s="142"/>
      <c r="D522" s="108"/>
      <c r="E522" s="183" t="str">
        <f aca="false" t="array" ref="E522:E522">IF(B522="","",IFERROR(INDEX(Keywords!$B$5:$B$165,MAX(ISNUMBER(SEARCH(Keywords!$A$5:$A$165,B522))*(Keywords!$A$5:$A$165&lt;&gt;"")*ROW(Keywords!$A$5:$A$165))-4),""))</f>
        <v/>
      </c>
      <c r="F522" s="150" t="str">
        <f aca="false">IF(B522="","",IF(L522="Transfer","Transfer",IF(L522="Income","Income",IF(D522&lt;&gt;"",D522,IF(E522&lt;&gt;"",E522,"Uncategorized")))))</f>
        <v/>
      </c>
      <c r="G522" s="108"/>
      <c r="H522" s="184" t="str">
        <f aca="false">IF(A522="","",DATE(YEAR(A522),MONTH(A522),1))</f>
        <v/>
      </c>
      <c r="I522" s="185"/>
      <c r="J522" s="144"/>
      <c r="K522" s="159" t="str">
        <f aca="false">IF(C522="","",N(C522)/IF(N522&lt;&gt;"",N522,IF(J522="",1,IFERROR(INDEX(Setup!$C$23:$C$46,MATCH(J522,Setup!$A$23:$A$46,0)),1))))</f>
        <v/>
      </c>
      <c r="L522" s="144"/>
      <c r="M522" s="108"/>
      <c r="N522" s="111"/>
      <c r="O522" s="156" t="str">
        <f aca="false">IF(OR(B522="",L522="Transfer"),"",IF(COUNTIFS($B$5:$B$604,B522,$H$5:$H$604,EDATE(H522,-1),$C$5:$C$604,"&gt;="&amp;C522*0.85,$C$5:$C$604,"&lt;="&amp;C522*1.15)&gt;0,"recurring",""))</f>
        <v/>
      </c>
      <c r="P522" s="157" t="str">
        <f aca="false">IF(B522="","",IF(COUNTIF(B522:$B$604,B522)=1,1,""))</f>
        <v/>
      </c>
      <c r="Q522" s="157" t="str">
        <f aca="false">IF(AND(O522="recurring",P522=1),COUNTIFS($O$5:O522,"recurring",$P$5:P522,1),"")</f>
        <v/>
      </c>
    </row>
    <row r="523" customFormat="false" ht="15" hidden="false" customHeight="false" outlineLevel="0" collapsed="false">
      <c r="A523" s="110"/>
      <c r="B523" s="108"/>
      <c r="C523" s="142"/>
      <c r="D523" s="108"/>
      <c r="E523" s="183" t="str">
        <f aca="false" t="array" ref="E523:E523">IF(B523="","",IFERROR(INDEX(Keywords!$B$5:$B$165,MAX(ISNUMBER(SEARCH(Keywords!$A$5:$A$165,B523))*(Keywords!$A$5:$A$165&lt;&gt;"")*ROW(Keywords!$A$5:$A$165))-4),""))</f>
        <v/>
      </c>
      <c r="F523" s="150" t="str">
        <f aca="false">IF(B523="","",IF(L523="Transfer","Transfer",IF(L523="Income","Income",IF(D523&lt;&gt;"",D523,IF(E523&lt;&gt;"",E523,"Uncategorized")))))</f>
        <v/>
      </c>
      <c r="G523" s="108"/>
      <c r="H523" s="184" t="str">
        <f aca="false">IF(A523="","",DATE(YEAR(A523),MONTH(A523),1))</f>
        <v/>
      </c>
      <c r="I523" s="185"/>
      <c r="J523" s="144"/>
      <c r="K523" s="159" t="str">
        <f aca="false">IF(C523="","",N(C523)/IF(N523&lt;&gt;"",N523,IF(J523="",1,IFERROR(INDEX(Setup!$C$23:$C$46,MATCH(J523,Setup!$A$23:$A$46,0)),1))))</f>
        <v/>
      </c>
      <c r="L523" s="144"/>
      <c r="M523" s="108"/>
      <c r="N523" s="111"/>
      <c r="O523" s="156" t="str">
        <f aca="false">IF(OR(B523="",L523="Transfer"),"",IF(COUNTIFS($B$5:$B$604,B523,$H$5:$H$604,EDATE(H523,-1),$C$5:$C$604,"&gt;="&amp;C523*0.85,$C$5:$C$604,"&lt;="&amp;C523*1.15)&gt;0,"recurring",""))</f>
        <v/>
      </c>
      <c r="P523" s="157" t="str">
        <f aca="false">IF(B523="","",IF(COUNTIF(B523:$B$604,B523)=1,1,""))</f>
        <v/>
      </c>
      <c r="Q523" s="157" t="str">
        <f aca="false">IF(AND(O523="recurring",P523=1),COUNTIFS($O$5:O523,"recurring",$P$5:P523,1),"")</f>
        <v/>
      </c>
    </row>
    <row r="524" customFormat="false" ht="15" hidden="false" customHeight="false" outlineLevel="0" collapsed="false">
      <c r="A524" s="110"/>
      <c r="B524" s="108"/>
      <c r="C524" s="142"/>
      <c r="D524" s="108"/>
      <c r="E524" s="183" t="str">
        <f aca="false" t="array" ref="E524:E524">IF(B524="","",IFERROR(INDEX(Keywords!$B$5:$B$165,MAX(ISNUMBER(SEARCH(Keywords!$A$5:$A$165,B524))*(Keywords!$A$5:$A$165&lt;&gt;"")*ROW(Keywords!$A$5:$A$165))-4),""))</f>
        <v/>
      </c>
      <c r="F524" s="150" t="str">
        <f aca="false">IF(B524="","",IF(L524="Transfer","Transfer",IF(L524="Income","Income",IF(D524&lt;&gt;"",D524,IF(E524&lt;&gt;"",E524,"Uncategorized")))))</f>
        <v/>
      </c>
      <c r="G524" s="108"/>
      <c r="H524" s="184" t="str">
        <f aca="false">IF(A524="","",DATE(YEAR(A524),MONTH(A524),1))</f>
        <v/>
      </c>
      <c r="I524" s="185"/>
      <c r="J524" s="144"/>
      <c r="K524" s="159" t="str">
        <f aca="false">IF(C524="","",N(C524)/IF(N524&lt;&gt;"",N524,IF(J524="",1,IFERROR(INDEX(Setup!$C$23:$C$46,MATCH(J524,Setup!$A$23:$A$46,0)),1))))</f>
        <v/>
      </c>
      <c r="L524" s="144"/>
      <c r="M524" s="108"/>
      <c r="N524" s="111"/>
      <c r="O524" s="156" t="str">
        <f aca="false">IF(OR(B524="",L524="Transfer"),"",IF(COUNTIFS($B$5:$B$604,B524,$H$5:$H$604,EDATE(H524,-1),$C$5:$C$604,"&gt;="&amp;C524*0.85,$C$5:$C$604,"&lt;="&amp;C524*1.15)&gt;0,"recurring",""))</f>
        <v/>
      </c>
      <c r="P524" s="157" t="str">
        <f aca="false">IF(B524="","",IF(COUNTIF(B524:$B$604,B524)=1,1,""))</f>
        <v/>
      </c>
      <c r="Q524" s="157" t="str">
        <f aca="false">IF(AND(O524="recurring",P524=1),COUNTIFS($O$5:O524,"recurring",$P$5:P524,1),"")</f>
        <v/>
      </c>
    </row>
    <row r="525" customFormat="false" ht="15" hidden="false" customHeight="false" outlineLevel="0" collapsed="false">
      <c r="A525" s="110"/>
      <c r="B525" s="108"/>
      <c r="C525" s="142"/>
      <c r="D525" s="108"/>
      <c r="E525" s="183" t="str">
        <f aca="false" t="array" ref="E525:E525">IF(B525="","",IFERROR(INDEX(Keywords!$B$5:$B$165,MAX(ISNUMBER(SEARCH(Keywords!$A$5:$A$165,B525))*(Keywords!$A$5:$A$165&lt;&gt;"")*ROW(Keywords!$A$5:$A$165))-4),""))</f>
        <v/>
      </c>
      <c r="F525" s="150" t="str">
        <f aca="false">IF(B525="","",IF(L525="Transfer","Transfer",IF(L525="Income","Income",IF(D525&lt;&gt;"",D525,IF(E525&lt;&gt;"",E525,"Uncategorized")))))</f>
        <v/>
      </c>
      <c r="G525" s="108"/>
      <c r="H525" s="184" t="str">
        <f aca="false">IF(A525="","",DATE(YEAR(A525),MONTH(A525),1))</f>
        <v/>
      </c>
      <c r="I525" s="185"/>
      <c r="J525" s="144"/>
      <c r="K525" s="159" t="str">
        <f aca="false">IF(C525="","",N(C525)/IF(N525&lt;&gt;"",N525,IF(J525="",1,IFERROR(INDEX(Setup!$C$23:$C$46,MATCH(J525,Setup!$A$23:$A$46,0)),1))))</f>
        <v/>
      </c>
      <c r="L525" s="144"/>
      <c r="M525" s="108"/>
      <c r="N525" s="111"/>
      <c r="O525" s="156" t="str">
        <f aca="false">IF(OR(B525="",L525="Transfer"),"",IF(COUNTIFS($B$5:$B$604,B525,$H$5:$H$604,EDATE(H525,-1),$C$5:$C$604,"&gt;="&amp;C525*0.85,$C$5:$C$604,"&lt;="&amp;C525*1.15)&gt;0,"recurring",""))</f>
        <v/>
      </c>
      <c r="P525" s="157" t="str">
        <f aca="false">IF(B525="","",IF(COUNTIF(B525:$B$604,B525)=1,1,""))</f>
        <v/>
      </c>
      <c r="Q525" s="157" t="str">
        <f aca="false">IF(AND(O525="recurring",P525=1),COUNTIFS($O$5:O525,"recurring",$P$5:P525,1),"")</f>
        <v/>
      </c>
    </row>
    <row r="526" customFormat="false" ht="15" hidden="false" customHeight="false" outlineLevel="0" collapsed="false">
      <c r="A526" s="110"/>
      <c r="B526" s="108"/>
      <c r="C526" s="142"/>
      <c r="D526" s="108"/>
      <c r="E526" s="183" t="str">
        <f aca="false" t="array" ref="E526:E526">IF(B526="","",IFERROR(INDEX(Keywords!$B$5:$B$165,MAX(ISNUMBER(SEARCH(Keywords!$A$5:$A$165,B526))*(Keywords!$A$5:$A$165&lt;&gt;"")*ROW(Keywords!$A$5:$A$165))-4),""))</f>
        <v/>
      </c>
      <c r="F526" s="150" t="str">
        <f aca="false">IF(B526="","",IF(L526="Transfer","Transfer",IF(L526="Income","Income",IF(D526&lt;&gt;"",D526,IF(E526&lt;&gt;"",E526,"Uncategorized")))))</f>
        <v/>
      </c>
      <c r="G526" s="108"/>
      <c r="H526" s="184" t="str">
        <f aca="false">IF(A526="","",DATE(YEAR(A526),MONTH(A526),1))</f>
        <v/>
      </c>
      <c r="I526" s="185"/>
      <c r="J526" s="144"/>
      <c r="K526" s="159" t="str">
        <f aca="false">IF(C526="","",N(C526)/IF(N526&lt;&gt;"",N526,IF(J526="",1,IFERROR(INDEX(Setup!$C$23:$C$46,MATCH(J526,Setup!$A$23:$A$46,0)),1))))</f>
        <v/>
      </c>
      <c r="L526" s="144"/>
      <c r="M526" s="108"/>
      <c r="N526" s="111"/>
      <c r="O526" s="156" t="str">
        <f aca="false">IF(OR(B526="",L526="Transfer"),"",IF(COUNTIFS($B$5:$B$604,B526,$H$5:$H$604,EDATE(H526,-1),$C$5:$C$604,"&gt;="&amp;C526*0.85,$C$5:$C$604,"&lt;="&amp;C526*1.15)&gt;0,"recurring",""))</f>
        <v/>
      </c>
      <c r="P526" s="157" t="str">
        <f aca="false">IF(B526="","",IF(COUNTIF(B526:$B$604,B526)=1,1,""))</f>
        <v/>
      </c>
      <c r="Q526" s="157" t="str">
        <f aca="false">IF(AND(O526="recurring",P526=1),COUNTIFS($O$5:O526,"recurring",$P$5:P526,1),"")</f>
        <v/>
      </c>
    </row>
    <row r="527" customFormat="false" ht="15" hidden="false" customHeight="false" outlineLevel="0" collapsed="false">
      <c r="A527" s="110"/>
      <c r="B527" s="108"/>
      <c r="C527" s="142"/>
      <c r="D527" s="108"/>
      <c r="E527" s="183" t="str">
        <f aca="false" t="array" ref="E527:E527">IF(B527="","",IFERROR(INDEX(Keywords!$B$5:$B$165,MAX(ISNUMBER(SEARCH(Keywords!$A$5:$A$165,B527))*(Keywords!$A$5:$A$165&lt;&gt;"")*ROW(Keywords!$A$5:$A$165))-4),""))</f>
        <v/>
      </c>
      <c r="F527" s="150" t="str">
        <f aca="false">IF(B527="","",IF(L527="Transfer","Transfer",IF(L527="Income","Income",IF(D527&lt;&gt;"",D527,IF(E527&lt;&gt;"",E527,"Uncategorized")))))</f>
        <v/>
      </c>
      <c r="G527" s="108"/>
      <c r="H527" s="184" t="str">
        <f aca="false">IF(A527="","",DATE(YEAR(A527),MONTH(A527),1))</f>
        <v/>
      </c>
      <c r="I527" s="185"/>
      <c r="J527" s="144"/>
      <c r="K527" s="159" t="str">
        <f aca="false">IF(C527="","",N(C527)/IF(N527&lt;&gt;"",N527,IF(J527="",1,IFERROR(INDEX(Setup!$C$23:$C$46,MATCH(J527,Setup!$A$23:$A$46,0)),1))))</f>
        <v/>
      </c>
      <c r="L527" s="144"/>
      <c r="M527" s="108"/>
      <c r="N527" s="111"/>
      <c r="O527" s="156" t="str">
        <f aca="false">IF(OR(B527="",L527="Transfer"),"",IF(COUNTIFS($B$5:$B$604,B527,$H$5:$H$604,EDATE(H527,-1),$C$5:$C$604,"&gt;="&amp;C527*0.85,$C$5:$C$604,"&lt;="&amp;C527*1.15)&gt;0,"recurring",""))</f>
        <v/>
      </c>
      <c r="P527" s="157" t="str">
        <f aca="false">IF(B527="","",IF(COUNTIF(B527:$B$604,B527)=1,1,""))</f>
        <v/>
      </c>
      <c r="Q527" s="157" t="str">
        <f aca="false">IF(AND(O527="recurring",P527=1),COUNTIFS($O$5:O527,"recurring",$P$5:P527,1),"")</f>
        <v/>
      </c>
    </row>
    <row r="528" customFormat="false" ht="15" hidden="false" customHeight="false" outlineLevel="0" collapsed="false">
      <c r="A528" s="110"/>
      <c r="B528" s="108"/>
      <c r="C528" s="142"/>
      <c r="D528" s="108"/>
      <c r="E528" s="183" t="str">
        <f aca="false" t="array" ref="E528:E528">IF(B528="","",IFERROR(INDEX(Keywords!$B$5:$B$165,MAX(ISNUMBER(SEARCH(Keywords!$A$5:$A$165,B528))*(Keywords!$A$5:$A$165&lt;&gt;"")*ROW(Keywords!$A$5:$A$165))-4),""))</f>
        <v/>
      </c>
      <c r="F528" s="150" t="str">
        <f aca="false">IF(B528="","",IF(L528="Transfer","Transfer",IF(L528="Income","Income",IF(D528&lt;&gt;"",D528,IF(E528&lt;&gt;"",E528,"Uncategorized")))))</f>
        <v/>
      </c>
      <c r="G528" s="108"/>
      <c r="H528" s="184" t="str">
        <f aca="false">IF(A528="","",DATE(YEAR(A528),MONTH(A528),1))</f>
        <v/>
      </c>
      <c r="I528" s="185"/>
      <c r="J528" s="144"/>
      <c r="K528" s="159" t="str">
        <f aca="false">IF(C528="","",N(C528)/IF(N528&lt;&gt;"",N528,IF(J528="",1,IFERROR(INDEX(Setup!$C$23:$C$46,MATCH(J528,Setup!$A$23:$A$46,0)),1))))</f>
        <v/>
      </c>
      <c r="L528" s="144"/>
      <c r="M528" s="108"/>
      <c r="N528" s="111"/>
      <c r="O528" s="156" t="str">
        <f aca="false">IF(OR(B528="",L528="Transfer"),"",IF(COUNTIFS($B$5:$B$604,B528,$H$5:$H$604,EDATE(H528,-1),$C$5:$C$604,"&gt;="&amp;C528*0.85,$C$5:$C$604,"&lt;="&amp;C528*1.15)&gt;0,"recurring",""))</f>
        <v/>
      </c>
      <c r="P528" s="157" t="str">
        <f aca="false">IF(B528="","",IF(COUNTIF(B528:$B$604,B528)=1,1,""))</f>
        <v/>
      </c>
      <c r="Q528" s="157" t="str">
        <f aca="false">IF(AND(O528="recurring",P528=1),COUNTIFS($O$5:O528,"recurring",$P$5:P528,1),"")</f>
        <v/>
      </c>
    </row>
    <row r="529" customFormat="false" ht="15" hidden="false" customHeight="false" outlineLevel="0" collapsed="false">
      <c r="A529" s="110"/>
      <c r="B529" s="108"/>
      <c r="C529" s="142"/>
      <c r="D529" s="108"/>
      <c r="E529" s="183" t="str">
        <f aca="false" t="array" ref="E529:E529">IF(B529="","",IFERROR(INDEX(Keywords!$B$5:$B$165,MAX(ISNUMBER(SEARCH(Keywords!$A$5:$A$165,B529))*(Keywords!$A$5:$A$165&lt;&gt;"")*ROW(Keywords!$A$5:$A$165))-4),""))</f>
        <v/>
      </c>
      <c r="F529" s="150" t="str">
        <f aca="false">IF(B529="","",IF(L529="Transfer","Transfer",IF(L529="Income","Income",IF(D529&lt;&gt;"",D529,IF(E529&lt;&gt;"",E529,"Uncategorized")))))</f>
        <v/>
      </c>
      <c r="G529" s="108"/>
      <c r="H529" s="184" t="str">
        <f aca="false">IF(A529="","",DATE(YEAR(A529),MONTH(A529),1))</f>
        <v/>
      </c>
      <c r="I529" s="185"/>
      <c r="J529" s="144"/>
      <c r="K529" s="159" t="str">
        <f aca="false">IF(C529="","",N(C529)/IF(N529&lt;&gt;"",N529,IF(J529="",1,IFERROR(INDEX(Setup!$C$23:$C$46,MATCH(J529,Setup!$A$23:$A$46,0)),1))))</f>
        <v/>
      </c>
      <c r="L529" s="144"/>
      <c r="M529" s="108"/>
      <c r="N529" s="111"/>
      <c r="O529" s="156" t="str">
        <f aca="false">IF(OR(B529="",L529="Transfer"),"",IF(COUNTIFS($B$5:$B$604,B529,$H$5:$H$604,EDATE(H529,-1),$C$5:$C$604,"&gt;="&amp;C529*0.85,$C$5:$C$604,"&lt;="&amp;C529*1.15)&gt;0,"recurring",""))</f>
        <v/>
      </c>
      <c r="P529" s="157" t="str">
        <f aca="false">IF(B529="","",IF(COUNTIF(B529:$B$604,B529)=1,1,""))</f>
        <v/>
      </c>
      <c r="Q529" s="157" t="str">
        <f aca="false">IF(AND(O529="recurring",P529=1),COUNTIFS($O$5:O529,"recurring",$P$5:P529,1),"")</f>
        <v/>
      </c>
    </row>
    <row r="530" customFormat="false" ht="15" hidden="false" customHeight="false" outlineLevel="0" collapsed="false">
      <c r="A530" s="110"/>
      <c r="B530" s="108"/>
      <c r="C530" s="142"/>
      <c r="D530" s="108"/>
      <c r="E530" s="183" t="str">
        <f aca="false" t="array" ref="E530:E530">IF(B530="","",IFERROR(INDEX(Keywords!$B$5:$B$165,MAX(ISNUMBER(SEARCH(Keywords!$A$5:$A$165,B530))*(Keywords!$A$5:$A$165&lt;&gt;"")*ROW(Keywords!$A$5:$A$165))-4),""))</f>
        <v/>
      </c>
      <c r="F530" s="150" t="str">
        <f aca="false">IF(B530="","",IF(L530="Transfer","Transfer",IF(L530="Income","Income",IF(D530&lt;&gt;"",D530,IF(E530&lt;&gt;"",E530,"Uncategorized")))))</f>
        <v/>
      </c>
      <c r="G530" s="108"/>
      <c r="H530" s="184" t="str">
        <f aca="false">IF(A530="","",DATE(YEAR(A530),MONTH(A530),1))</f>
        <v/>
      </c>
      <c r="I530" s="185"/>
      <c r="J530" s="144"/>
      <c r="K530" s="159" t="str">
        <f aca="false">IF(C530="","",N(C530)/IF(N530&lt;&gt;"",N530,IF(J530="",1,IFERROR(INDEX(Setup!$C$23:$C$46,MATCH(J530,Setup!$A$23:$A$46,0)),1))))</f>
        <v/>
      </c>
      <c r="L530" s="144"/>
      <c r="M530" s="108"/>
      <c r="N530" s="111"/>
      <c r="O530" s="156" t="str">
        <f aca="false">IF(OR(B530="",L530="Transfer"),"",IF(COUNTIFS($B$5:$B$604,B530,$H$5:$H$604,EDATE(H530,-1),$C$5:$C$604,"&gt;="&amp;C530*0.85,$C$5:$C$604,"&lt;="&amp;C530*1.15)&gt;0,"recurring",""))</f>
        <v/>
      </c>
      <c r="P530" s="157" t="str">
        <f aca="false">IF(B530="","",IF(COUNTIF(B530:$B$604,B530)=1,1,""))</f>
        <v/>
      </c>
      <c r="Q530" s="157" t="str">
        <f aca="false">IF(AND(O530="recurring",P530=1),COUNTIFS($O$5:O530,"recurring",$P$5:P530,1),"")</f>
        <v/>
      </c>
    </row>
    <row r="531" customFormat="false" ht="15" hidden="false" customHeight="false" outlineLevel="0" collapsed="false">
      <c r="A531" s="110"/>
      <c r="B531" s="108"/>
      <c r="C531" s="142"/>
      <c r="D531" s="108"/>
      <c r="E531" s="183" t="str">
        <f aca="false" t="array" ref="E531:E531">IF(B531="","",IFERROR(INDEX(Keywords!$B$5:$B$165,MAX(ISNUMBER(SEARCH(Keywords!$A$5:$A$165,B531))*(Keywords!$A$5:$A$165&lt;&gt;"")*ROW(Keywords!$A$5:$A$165))-4),""))</f>
        <v/>
      </c>
      <c r="F531" s="150" t="str">
        <f aca="false">IF(B531="","",IF(L531="Transfer","Transfer",IF(L531="Income","Income",IF(D531&lt;&gt;"",D531,IF(E531&lt;&gt;"",E531,"Uncategorized")))))</f>
        <v/>
      </c>
      <c r="G531" s="108"/>
      <c r="H531" s="184" t="str">
        <f aca="false">IF(A531="","",DATE(YEAR(A531),MONTH(A531),1))</f>
        <v/>
      </c>
      <c r="I531" s="185"/>
      <c r="J531" s="144"/>
      <c r="K531" s="159" t="str">
        <f aca="false">IF(C531="","",N(C531)/IF(N531&lt;&gt;"",N531,IF(J531="",1,IFERROR(INDEX(Setup!$C$23:$C$46,MATCH(J531,Setup!$A$23:$A$46,0)),1))))</f>
        <v/>
      </c>
      <c r="L531" s="144"/>
      <c r="M531" s="108"/>
      <c r="N531" s="111"/>
      <c r="O531" s="156" t="str">
        <f aca="false">IF(OR(B531="",L531="Transfer"),"",IF(COUNTIFS($B$5:$B$604,B531,$H$5:$H$604,EDATE(H531,-1),$C$5:$C$604,"&gt;="&amp;C531*0.85,$C$5:$C$604,"&lt;="&amp;C531*1.15)&gt;0,"recurring",""))</f>
        <v/>
      </c>
      <c r="P531" s="157" t="str">
        <f aca="false">IF(B531="","",IF(COUNTIF(B531:$B$604,B531)=1,1,""))</f>
        <v/>
      </c>
      <c r="Q531" s="157" t="str">
        <f aca="false">IF(AND(O531="recurring",P531=1),COUNTIFS($O$5:O531,"recurring",$P$5:P531,1),"")</f>
        <v/>
      </c>
    </row>
    <row r="532" customFormat="false" ht="15" hidden="false" customHeight="false" outlineLevel="0" collapsed="false">
      <c r="A532" s="110"/>
      <c r="B532" s="108"/>
      <c r="C532" s="142"/>
      <c r="D532" s="108"/>
      <c r="E532" s="183" t="str">
        <f aca="false" t="array" ref="E532:E532">IF(B532="","",IFERROR(INDEX(Keywords!$B$5:$B$165,MAX(ISNUMBER(SEARCH(Keywords!$A$5:$A$165,B532))*(Keywords!$A$5:$A$165&lt;&gt;"")*ROW(Keywords!$A$5:$A$165))-4),""))</f>
        <v/>
      </c>
      <c r="F532" s="150" t="str">
        <f aca="false">IF(B532="","",IF(L532="Transfer","Transfer",IF(L532="Income","Income",IF(D532&lt;&gt;"",D532,IF(E532&lt;&gt;"",E532,"Uncategorized")))))</f>
        <v/>
      </c>
      <c r="G532" s="108"/>
      <c r="H532" s="184" t="str">
        <f aca="false">IF(A532="","",DATE(YEAR(A532),MONTH(A532),1))</f>
        <v/>
      </c>
      <c r="I532" s="185"/>
      <c r="J532" s="144"/>
      <c r="K532" s="159" t="str">
        <f aca="false">IF(C532="","",N(C532)/IF(N532&lt;&gt;"",N532,IF(J532="",1,IFERROR(INDEX(Setup!$C$23:$C$46,MATCH(J532,Setup!$A$23:$A$46,0)),1))))</f>
        <v/>
      </c>
      <c r="L532" s="144"/>
      <c r="M532" s="108"/>
      <c r="N532" s="111"/>
      <c r="O532" s="156" t="str">
        <f aca="false">IF(OR(B532="",L532="Transfer"),"",IF(COUNTIFS($B$5:$B$604,B532,$H$5:$H$604,EDATE(H532,-1),$C$5:$C$604,"&gt;="&amp;C532*0.85,$C$5:$C$604,"&lt;="&amp;C532*1.15)&gt;0,"recurring",""))</f>
        <v/>
      </c>
      <c r="P532" s="157" t="str">
        <f aca="false">IF(B532="","",IF(COUNTIF(B532:$B$604,B532)=1,1,""))</f>
        <v/>
      </c>
      <c r="Q532" s="157" t="str">
        <f aca="false">IF(AND(O532="recurring",P532=1),COUNTIFS($O$5:O532,"recurring",$P$5:P532,1),"")</f>
        <v/>
      </c>
    </row>
    <row r="533" customFormat="false" ht="15" hidden="false" customHeight="false" outlineLevel="0" collapsed="false">
      <c r="A533" s="110"/>
      <c r="B533" s="108"/>
      <c r="C533" s="142"/>
      <c r="D533" s="108"/>
      <c r="E533" s="183" t="str">
        <f aca="false" t="array" ref="E533:E533">IF(B533="","",IFERROR(INDEX(Keywords!$B$5:$B$165,MAX(ISNUMBER(SEARCH(Keywords!$A$5:$A$165,B533))*(Keywords!$A$5:$A$165&lt;&gt;"")*ROW(Keywords!$A$5:$A$165))-4),""))</f>
        <v/>
      </c>
      <c r="F533" s="150" t="str">
        <f aca="false">IF(B533="","",IF(L533="Transfer","Transfer",IF(L533="Income","Income",IF(D533&lt;&gt;"",D533,IF(E533&lt;&gt;"",E533,"Uncategorized")))))</f>
        <v/>
      </c>
      <c r="G533" s="108"/>
      <c r="H533" s="184" t="str">
        <f aca="false">IF(A533="","",DATE(YEAR(A533),MONTH(A533),1))</f>
        <v/>
      </c>
      <c r="I533" s="185"/>
      <c r="J533" s="144"/>
      <c r="K533" s="159" t="str">
        <f aca="false">IF(C533="","",N(C533)/IF(N533&lt;&gt;"",N533,IF(J533="",1,IFERROR(INDEX(Setup!$C$23:$C$46,MATCH(J533,Setup!$A$23:$A$46,0)),1))))</f>
        <v/>
      </c>
      <c r="L533" s="144"/>
      <c r="M533" s="108"/>
      <c r="N533" s="111"/>
      <c r="O533" s="156" t="str">
        <f aca="false">IF(OR(B533="",L533="Transfer"),"",IF(COUNTIFS($B$5:$B$604,B533,$H$5:$H$604,EDATE(H533,-1),$C$5:$C$604,"&gt;="&amp;C533*0.85,$C$5:$C$604,"&lt;="&amp;C533*1.15)&gt;0,"recurring",""))</f>
        <v/>
      </c>
      <c r="P533" s="157" t="str">
        <f aca="false">IF(B533="","",IF(COUNTIF(B533:$B$604,B533)=1,1,""))</f>
        <v/>
      </c>
      <c r="Q533" s="157" t="str">
        <f aca="false">IF(AND(O533="recurring",P533=1),COUNTIFS($O$5:O533,"recurring",$P$5:P533,1),"")</f>
        <v/>
      </c>
    </row>
    <row r="534" customFormat="false" ht="15" hidden="false" customHeight="false" outlineLevel="0" collapsed="false">
      <c r="A534" s="110"/>
      <c r="B534" s="108"/>
      <c r="C534" s="142"/>
      <c r="D534" s="108"/>
      <c r="E534" s="183" t="str">
        <f aca="false" t="array" ref="E534:E534">IF(B534="","",IFERROR(INDEX(Keywords!$B$5:$B$165,MAX(ISNUMBER(SEARCH(Keywords!$A$5:$A$165,B534))*(Keywords!$A$5:$A$165&lt;&gt;"")*ROW(Keywords!$A$5:$A$165))-4),""))</f>
        <v/>
      </c>
      <c r="F534" s="150" t="str">
        <f aca="false">IF(B534="","",IF(L534="Transfer","Transfer",IF(L534="Income","Income",IF(D534&lt;&gt;"",D534,IF(E534&lt;&gt;"",E534,"Uncategorized")))))</f>
        <v/>
      </c>
      <c r="G534" s="108"/>
      <c r="H534" s="184" t="str">
        <f aca="false">IF(A534="","",DATE(YEAR(A534),MONTH(A534),1))</f>
        <v/>
      </c>
      <c r="I534" s="185"/>
      <c r="J534" s="144"/>
      <c r="K534" s="159" t="str">
        <f aca="false">IF(C534="","",N(C534)/IF(N534&lt;&gt;"",N534,IF(J534="",1,IFERROR(INDEX(Setup!$C$23:$C$46,MATCH(J534,Setup!$A$23:$A$46,0)),1))))</f>
        <v/>
      </c>
      <c r="L534" s="144"/>
      <c r="M534" s="108"/>
      <c r="N534" s="111"/>
      <c r="O534" s="156" t="str">
        <f aca="false">IF(OR(B534="",L534="Transfer"),"",IF(COUNTIFS($B$5:$B$604,B534,$H$5:$H$604,EDATE(H534,-1),$C$5:$C$604,"&gt;="&amp;C534*0.85,$C$5:$C$604,"&lt;="&amp;C534*1.15)&gt;0,"recurring",""))</f>
        <v/>
      </c>
      <c r="P534" s="157" t="str">
        <f aca="false">IF(B534="","",IF(COUNTIF(B534:$B$604,B534)=1,1,""))</f>
        <v/>
      </c>
      <c r="Q534" s="157" t="str">
        <f aca="false">IF(AND(O534="recurring",P534=1),COUNTIFS($O$5:O534,"recurring",$P$5:P534,1),"")</f>
        <v/>
      </c>
    </row>
    <row r="535" customFormat="false" ht="15" hidden="false" customHeight="false" outlineLevel="0" collapsed="false">
      <c r="A535" s="110"/>
      <c r="B535" s="108"/>
      <c r="C535" s="142"/>
      <c r="D535" s="108"/>
      <c r="E535" s="183" t="str">
        <f aca="false" t="array" ref="E535:E535">IF(B535="","",IFERROR(INDEX(Keywords!$B$5:$B$165,MAX(ISNUMBER(SEARCH(Keywords!$A$5:$A$165,B535))*(Keywords!$A$5:$A$165&lt;&gt;"")*ROW(Keywords!$A$5:$A$165))-4),""))</f>
        <v/>
      </c>
      <c r="F535" s="150" t="str">
        <f aca="false">IF(B535="","",IF(L535="Transfer","Transfer",IF(L535="Income","Income",IF(D535&lt;&gt;"",D535,IF(E535&lt;&gt;"",E535,"Uncategorized")))))</f>
        <v/>
      </c>
      <c r="G535" s="108"/>
      <c r="H535" s="184" t="str">
        <f aca="false">IF(A535="","",DATE(YEAR(A535),MONTH(A535),1))</f>
        <v/>
      </c>
      <c r="I535" s="185"/>
      <c r="J535" s="144"/>
      <c r="K535" s="159" t="str">
        <f aca="false">IF(C535="","",N(C535)/IF(N535&lt;&gt;"",N535,IF(J535="",1,IFERROR(INDEX(Setup!$C$23:$C$46,MATCH(J535,Setup!$A$23:$A$46,0)),1))))</f>
        <v/>
      </c>
      <c r="L535" s="144"/>
      <c r="M535" s="108"/>
      <c r="N535" s="111"/>
      <c r="O535" s="156" t="str">
        <f aca="false">IF(OR(B535="",L535="Transfer"),"",IF(COUNTIFS($B$5:$B$604,B535,$H$5:$H$604,EDATE(H535,-1),$C$5:$C$604,"&gt;="&amp;C535*0.85,$C$5:$C$604,"&lt;="&amp;C535*1.15)&gt;0,"recurring",""))</f>
        <v/>
      </c>
      <c r="P535" s="157" t="str">
        <f aca="false">IF(B535="","",IF(COUNTIF(B535:$B$604,B535)=1,1,""))</f>
        <v/>
      </c>
      <c r="Q535" s="157" t="str">
        <f aca="false">IF(AND(O535="recurring",P535=1),COUNTIFS($O$5:O535,"recurring",$P$5:P535,1),"")</f>
        <v/>
      </c>
    </row>
    <row r="536" customFormat="false" ht="15" hidden="false" customHeight="false" outlineLevel="0" collapsed="false">
      <c r="A536" s="110"/>
      <c r="B536" s="108"/>
      <c r="C536" s="142"/>
      <c r="D536" s="108"/>
      <c r="E536" s="183" t="str">
        <f aca="false" t="array" ref="E536:E536">IF(B536="","",IFERROR(INDEX(Keywords!$B$5:$B$165,MAX(ISNUMBER(SEARCH(Keywords!$A$5:$A$165,B536))*(Keywords!$A$5:$A$165&lt;&gt;"")*ROW(Keywords!$A$5:$A$165))-4),""))</f>
        <v/>
      </c>
      <c r="F536" s="150" t="str">
        <f aca="false">IF(B536="","",IF(L536="Transfer","Transfer",IF(L536="Income","Income",IF(D536&lt;&gt;"",D536,IF(E536&lt;&gt;"",E536,"Uncategorized")))))</f>
        <v/>
      </c>
      <c r="G536" s="108"/>
      <c r="H536" s="184" t="str">
        <f aca="false">IF(A536="","",DATE(YEAR(A536),MONTH(A536),1))</f>
        <v/>
      </c>
      <c r="I536" s="185"/>
      <c r="J536" s="144"/>
      <c r="K536" s="159" t="str">
        <f aca="false">IF(C536="","",N(C536)/IF(N536&lt;&gt;"",N536,IF(J536="",1,IFERROR(INDEX(Setup!$C$23:$C$46,MATCH(J536,Setup!$A$23:$A$46,0)),1))))</f>
        <v/>
      </c>
      <c r="L536" s="144"/>
      <c r="M536" s="108"/>
      <c r="N536" s="111"/>
      <c r="O536" s="156" t="str">
        <f aca="false">IF(OR(B536="",L536="Transfer"),"",IF(COUNTIFS($B$5:$B$604,B536,$H$5:$H$604,EDATE(H536,-1),$C$5:$C$604,"&gt;="&amp;C536*0.85,$C$5:$C$604,"&lt;="&amp;C536*1.15)&gt;0,"recurring",""))</f>
        <v/>
      </c>
      <c r="P536" s="157" t="str">
        <f aca="false">IF(B536="","",IF(COUNTIF(B536:$B$604,B536)=1,1,""))</f>
        <v/>
      </c>
      <c r="Q536" s="157" t="str">
        <f aca="false">IF(AND(O536="recurring",P536=1),COUNTIFS($O$5:O536,"recurring",$P$5:P536,1),"")</f>
        <v/>
      </c>
    </row>
    <row r="537" customFormat="false" ht="15" hidden="false" customHeight="false" outlineLevel="0" collapsed="false">
      <c r="A537" s="110"/>
      <c r="B537" s="108"/>
      <c r="C537" s="142"/>
      <c r="D537" s="108"/>
      <c r="E537" s="183" t="str">
        <f aca="false" t="array" ref="E537:E537">IF(B537="","",IFERROR(INDEX(Keywords!$B$5:$B$165,MAX(ISNUMBER(SEARCH(Keywords!$A$5:$A$165,B537))*(Keywords!$A$5:$A$165&lt;&gt;"")*ROW(Keywords!$A$5:$A$165))-4),""))</f>
        <v/>
      </c>
      <c r="F537" s="150" t="str">
        <f aca="false">IF(B537="","",IF(L537="Transfer","Transfer",IF(L537="Income","Income",IF(D537&lt;&gt;"",D537,IF(E537&lt;&gt;"",E537,"Uncategorized")))))</f>
        <v/>
      </c>
      <c r="G537" s="108"/>
      <c r="H537" s="184" t="str">
        <f aca="false">IF(A537="","",DATE(YEAR(A537),MONTH(A537),1))</f>
        <v/>
      </c>
      <c r="I537" s="185"/>
      <c r="J537" s="144"/>
      <c r="K537" s="159" t="str">
        <f aca="false">IF(C537="","",N(C537)/IF(N537&lt;&gt;"",N537,IF(J537="",1,IFERROR(INDEX(Setup!$C$23:$C$46,MATCH(J537,Setup!$A$23:$A$46,0)),1))))</f>
        <v/>
      </c>
      <c r="L537" s="144"/>
      <c r="M537" s="108"/>
      <c r="N537" s="111"/>
      <c r="O537" s="156" t="str">
        <f aca="false">IF(OR(B537="",L537="Transfer"),"",IF(COUNTIFS($B$5:$B$604,B537,$H$5:$H$604,EDATE(H537,-1),$C$5:$C$604,"&gt;="&amp;C537*0.85,$C$5:$C$604,"&lt;="&amp;C537*1.15)&gt;0,"recurring",""))</f>
        <v/>
      </c>
      <c r="P537" s="157" t="str">
        <f aca="false">IF(B537="","",IF(COUNTIF(B537:$B$604,B537)=1,1,""))</f>
        <v/>
      </c>
      <c r="Q537" s="157" t="str">
        <f aca="false">IF(AND(O537="recurring",P537=1),COUNTIFS($O$5:O537,"recurring",$P$5:P537,1),"")</f>
        <v/>
      </c>
    </row>
    <row r="538" customFormat="false" ht="15" hidden="false" customHeight="false" outlineLevel="0" collapsed="false">
      <c r="A538" s="110"/>
      <c r="B538" s="108"/>
      <c r="C538" s="142"/>
      <c r="D538" s="108"/>
      <c r="E538" s="183" t="str">
        <f aca="false" t="array" ref="E538:E538">IF(B538="","",IFERROR(INDEX(Keywords!$B$5:$B$165,MAX(ISNUMBER(SEARCH(Keywords!$A$5:$A$165,B538))*(Keywords!$A$5:$A$165&lt;&gt;"")*ROW(Keywords!$A$5:$A$165))-4),""))</f>
        <v/>
      </c>
      <c r="F538" s="150" t="str">
        <f aca="false">IF(B538="","",IF(L538="Transfer","Transfer",IF(L538="Income","Income",IF(D538&lt;&gt;"",D538,IF(E538&lt;&gt;"",E538,"Uncategorized")))))</f>
        <v/>
      </c>
      <c r="G538" s="108"/>
      <c r="H538" s="184" t="str">
        <f aca="false">IF(A538="","",DATE(YEAR(A538),MONTH(A538),1))</f>
        <v/>
      </c>
      <c r="I538" s="185"/>
      <c r="J538" s="144"/>
      <c r="K538" s="159" t="str">
        <f aca="false">IF(C538="","",N(C538)/IF(N538&lt;&gt;"",N538,IF(J538="",1,IFERROR(INDEX(Setup!$C$23:$C$46,MATCH(J538,Setup!$A$23:$A$46,0)),1))))</f>
        <v/>
      </c>
      <c r="L538" s="144"/>
      <c r="M538" s="108"/>
      <c r="N538" s="111"/>
      <c r="O538" s="156" t="str">
        <f aca="false">IF(OR(B538="",L538="Transfer"),"",IF(COUNTIFS($B$5:$B$604,B538,$H$5:$H$604,EDATE(H538,-1),$C$5:$C$604,"&gt;="&amp;C538*0.85,$C$5:$C$604,"&lt;="&amp;C538*1.15)&gt;0,"recurring",""))</f>
        <v/>
      </c>
      <c r="P538" s="157" t="str">
        <f aca="false">IF(B538="","",IF(COUNTIF(B538:$B$604,B538)=1,1,""))</f>
        <v/>
      </c>
      <c r="Q538" s="157" t="str">
        <f aca="false">IF(AND(O538="recurring",P538=1),COUNTIFS($O$5:O538,"recurring",$P$5:P538,1),"")</f>
        <v/>
      </c>
    </row>
    <row r="539" customFormat="false" ht="15" hidden="false" customHeight="false" outlineLevel="0" collapsed="false">
      <c r="A539" s="110"/>
      <c r="B539" s="108"/>
      <c r="C539" s="142"/>
      <c r="D539" s="108"/>
      <c r="E539" s="183" t="str">
        <f aca="false" t="array" ref="E539:E539">IF(B539="","",IFERROR(INDEX(Keywords!$B$5:$B$165,MAX(ISNUMBER(SEARCH(Keywords!$A$5:$A$165,B539))*(Keywords!$A$5:$A$165&lt;&gt;"")*ROW(Keywords!$A$5:$A$165))-4),""))</f>
        <v/>
      </c>
      <c r="F539" s="150" t="str">
        <f aca="false">IF(B539="","",IF(L539="Transfer","Transfer",IF(L539="Income","Income",IF(D539&lt;&gt;"",D539,IF(E539&lt;&gt;"",E539,"Uncategorized")))))</f>
        <v/>
      </c>
      <c r="G539" s="108"/>
      <c r="H539" s="184" t="str">
        <f aca="false">IF(A539="","",DATE(YEAR(A539),MONTH(A539),1))</f>
        <v/>
      </c>
      <c r="I539" s="185"/>
      <c r="J539" s="144"/>
      <c r="K539" s="159" t="str">
        <f aca="false">IF(C539="","",N(C539)/IF(N539&lt;&gt;"",N539,IF(J539="",1,IFERROR(INDEX(Setup!$C$23:$C$46,MATCH(J539,Setup!$A$23:$A$46,0)),1))))</f>
        <v/>
      </c>
      <c r="L539" s="144"/>
      <c r="M539" s="108"/>
      <c r="N539" s="111"/>
      <c r="O539" s="156" t="str">
        <f aca="false">IF(OR(B539="",L539="Transfer"),"",IF(COUNTIFS($B$5:$B$604,B539,$H$5:$H$604,EDATE(H539,-1),$C$5:$C$604,"&gt;="&amp;C539*0.85,$C$5:$C$604,"&lt;="&amp;C539*1.15)&gt;0,"recurring",""))</f>
        <v/>
      </c>
      <c r="P539" s="157" t="str">
        <f aca="false">IF(B539="","",IF(COUNTIF(B539:$B$604,B539)=1,1,""))</f>
        <v/>
      </c>
      <c r="Q539" s="157" t="str">
        <f aca="false">IF(AND(O539="recurring",P539=1),COUNTIFS($O$5:O539,"recurring",$P$5:P539,1),"")</f>
        <v/>
      </c>
    </row>
    <row r="540" customFormat="false" ht="15" hidden="false" customHeight="false" outlineLevel="0" collapsed="false">
      <c r="A540" s="110"/>
      <c r="B540" s="108"/>
      <c r="C540" s="142"/>
      <c r="D540" s="108"/>
      <c r="E540" s="183" t="str">
        <f aca="false" t="array" ref="E540:E540">IF(B540="","",IFERROR(INDEX(Keywords!$B$5:$B$165,MAX(ISNUMBER(SEARCH(Keywords!$A$5:$A$165,B540))*(Keywords!$A$5:$A$165&lt;&gt;"")*ROW(Keywords!$A$5:$A$165))-4),""))</f>
        <v/>
      </c>
      <c r="F540" s="150" t="str">
        <f aca="false">IF(B540="","",IF(L540="Transfer","Transfer",IF(L540="Income","Income",IF(D540&lt;&gt;"",D540,IF(E540&lt;&gt;"",E540,"Uncategorized")))))</f>
        <v/>
      </c>
      <c r="G540" s="108"/>
      <c r="H540" s="184" t="str">
        <f aca="false">IF(A540="","",DATE(YEAR(A540),MONTH(A540),1))</f>
        <v/>
      </c>
      <c r="I540" s="185"/>
      <c r="J540" s="144"/>
      <c r="K540" s="159" t="str">
        <f aca="false">IF(C540="","",N(C540)/IF(N540&lt;&gt;"",N540,IF(J540="",1,IFERROR(INDEX(Setup!$C$23:$C$46,MATCH(J540,Setup!$A$23:$A$46,0)),1))))</f>
        <v/>
      </c>
      <c r="L540" s="144"/>
      <c r="M540" s="108"/>
      <c r="N540" s="111"/>
      <c r="O540" s="156" t="str">
        <f aca="false">IF(OR(B540="",L540="Transfer"),"",IF(COUNTIFS($B$5:$B$604,B540,$H$5:$H$604,EDATE(H540,-1),$C$5:$C$604,"&gt;="&amp;C540*0.85,$C$5:$C$604,"&lt;="&amp;C540*1.15)&gt;0,"recurring",""))</f>
        <v/>
      </c>
      <c r="P540" s="157" t="str">
        <f aca="false">IF(B540="","",IF(COUNTIF(B540:$B$604,B540)=1,1,""))</f>
        <v/>
      </c>
      <c r="Q540" s="157" t="str">
        <f aca="false">IF(AND(O540="recurring",P540=1),COUNTIFS($O$5:O540,"recurring",$P$5:P540,1),"")</f>
        <v/>
      </c>
    </row>
    <row r="541" customFormat="false" ht="15" hidden="false" customHeight="false" outlineLevel="0" collapsed="false">
      <c r="A541" s="110"/>
      <c r="B541" s="108"/>
      <c r="C541" s="142"/>
      <c r="D541" s="108"/>
      <c r="E541" s="183" t="str">
        <f aca="false" t="array" ref="E541:E541">IF(B541="","",IFERROR(INDEX(Keywords!$B$5:$B$165,MAX(ISNUMBER(SEARCH(Keywords!$A$5:$A$165,B541))*(Keywords!$A$5:$A$165&lt;&gt;"")*ROW(Keywords!$A$5:$A$165))-4),""))</f>
        <v/>
      </c>
      <c r="F541" s="150" t="str">
        <f aca="false">IF(B541="","",IF(L541="Transfer","Transfer",IF(L541="Income","Income",IF(D541&lt;&gt;"",D541,IF(E541&lt;&gt;"",E541,"Uncategorized")))))</f>
        <v/>
      </c>
      <c r="G541" s="108"/>
      <c r="H541" s="184" t="str">
        <f aca="false">IF(A541="","",DATE(YEAR(A541),MONTH(A541),1))</f>
        <v/>
      </c>
      <c r="I541" s="185"/>
      <c r="J541" s="144"/>
      <c r="K541" s="159" t="str">
        <f aca="false">IF(C541="","",N(C541)/IF(N541&lt;&gt;"",N541,IF(J541="",1,IFERROR(INDEX(Setup!$C$23:$C$46,MATCH(J541,Setup!$A$23:$A$46,0)),1))))</f>
        <v/>
      </c>
      <c r="L541" s="144"/>
      <c r="M541" s="108"/>
      <c r="N541" s="111"/>
      <c r="O541" s="156" t="str">
        <f aca="false">IF(OR(B541="",L541="Transfer"),"",IF(COUNTIFS($B$5:$B$604,B541,$H$5:$H$604,EDATE(H541,-1),$C$5:$C$604,"&gt;="&amp;C541*0.85,$C$5:$C$604,"&lt;="&amp;C541*1.15)&gt;0,"recurring",""))</f>
        <v/>
      </c>
      <c r="P541" s="157" t="str">
        <f aca="false">IF(B541="","",IF(COUNTIF(B541:$B$604,B541)=1,1,""))</f>
        <v/>
      </c>
      <c r="Q541" s="157" t="str">
        <f aca="false">IF(AND(O541="recurring",P541=1),COUNTIFS($O$5:O541,"recurring",$P$5:P541,1),"")</f>
        <v/>
      </c>
    </row>
    <row r="542" customFormat="false" ht="15" hidden="false" customHeight="false" outlineLevel="0" collapsed="false">
      <c r="A542" s="110"/>
      <c r="B542" s="108"/>
      <c r="C542" s="142"/>
      <c r="D542" s="108"/>
      <c r="E542" s="183" t="str">
        <f aca="false" t="array" ref="E542:E542">IF(B542="","",IFERROR(INDEX(Keywords!$B$5:$B$165,MAX(ISNUMBER(SEARCH(Keywords!$A$5:$A$165,B542))*(Keywords!$A$5:$A$165&lt;&gt;"")*ROW(Keywords!$A$5:$A$165))-4),""))</f>
        <v/>
      </c>
      <c r="F542" s="150" t="str">
        <f aca="false">IF(B542="","",IF(L542="Transfer","Transfer",IF(L542="Income","Income",IF(D542&lt;&gt;"",D542,IF(E542&lt;&gt;"",E542,"Uncategorized")))))</f>
        <v/>
      </c>
      <c r="G542" s="108"/>
      <c r="H542" s="184" t="str">
        <f aca="false">IF(A542="","",DATE(YEAR(A542),MONTH(A542),1))</f>
        <v/>
      </c>
      <c r="I542" s="185"/>
      <c r="J542" s="144"/>
      <c r="K542" s="159" t="str">
        <f aca="false">IF(C542="","",N(C542)/IF(N542&lt;&gt;"",N542,IF(J542="",1,IFERROR(INDEX(Setup!$C$23:$C$46,MATCH(J542,Setup!$A$23:$A$46,0)),1))))</f>
        <v/>
      </c>
      <c r="L542" s="144"/>
      <c r="M542" s="108"/>
      <c r="N542" s="111"/>
      <c r="O542" s="156" t="str">
        <f aca="false">IF(OR(B542="",L542="Transfer"),"",IF(COUNTIFS($B$5:$B$604,B542,$H$5:$H$604,EDATE(H542,-1),$C$5:$C$604,"&gt;="&amp;C542*0.85,$C$5:$C$604,"&lt;="&amp;C542*1.15)&gt;0,"recurring",""))</f>
        <v/>
      </c>
      <c r="P542" s="157" t="str">
        <f aca="false">IF(B542="","",IF(COUNTIF(B542:$B$604,B542)=1,1,""))</f>
        <v/>
      </c>
      <c r="Q542" s="157" t="str">
        <f aca="false">IF(AND(O542="recurring",P542=1),COUNTIFS($O$5:O542,"recurring",$P$5:P542,1),"")</f>
        <v/>
      </c>
    </row>
    <row r="543" customFormat="false" ht="15" hidden="false" customHeight="false" outlineLevel="0" collapsed="false">
      <c r="A543" s="110"/>
      <c r="B543" s="108"/>
      <c r="C543" s="142"/>
      <c r="D543" s="108"/>
      <c r="E543" s="183" t="str">
        <f aca="false" t="array" ref="E543:E543">IF(B543="","",IFERROR(INDEX(Keywords!$B$5:$B$165,MAX(ISNUMBER(SEARCH(Keywords!$A$5:$A$165,B543))*(Keywords!$A$5:$A$165&lt;&gt;"")*ROW(Keywords!$A$5:$A$165))-4),""))</f>
        <v/>
      </c>
      <c r="F543" s="150" t="str">
        <f aca="false">IF(B543="","",IF(L543="Transfer","Transfer",IF(L543="Income","Income",IF(D543&lt;&gt;"",D543,IF(E543&lt;&gt;"",E543,"Uncategorized")))))</f>
        <v/>
      </c>
      <c r="G543" s="108"/>
      <c r="H543" s="184" t="str">
        <f aca="false">IF(A543="","",DATE(YEAR(A543),MONTH(A543),1))</f>
        <v/>
      </c>
      <c r="I543" s="185"/>
      <c r="J543" s="144"/>
      <c r="K543" s="159" t="str">
        <f aca="false">IF(C543="","",N(C543)/IF(N543&lt;&gt;"",N543,IF(J543="",1,IFERROR(INDEX(Setup!$C$23:$C$46,MATCH(J543,Setup!$A$23:$A$46,0)),1))))</f>
        <v/>
      </c>
      <c r="L543" s="144"/>
      <c r="M543" s="108"/>
      <c r="N543" s="111"/>
      <c r="O543" s="156" t="str">
        <f aca="false">IF(OR(B543="",L543="Transfer"),"",IF(COUNTIFS($B$5:$B$604,B543,$H$5:$H$604,EDATE(H543,-1),$C$5:$C$604,"&gt;="&amp;C543*0.85,$C$5:$C$604,"&lt;="&amp;C543*1.15)&gt;0,"recurring",""))</f>
        <v/>
      </c>
      <c r="P543" s="157" t="str">
        <f aca="false">IF(B543="","",IF(COUNTIF(B543:$B$604,B543)=1,1,""))</f>
        <v/>
      </c>
      <c r="Q543" s="157" t="str">
        <f aca="false">IF(AND(O543="recurring",P543=1),COUNTIFS($O$5:O543,"recurring",$P$5:P543,1),"")</f>
        <v/>
      </c>
    </row>
    <row r="544" customFormat="false" ht="15" hidden="false" customHeight="false" outlineLevel="0" collapsed="false">
      <c r="A544" s="110"/>
      <c r="B544" s="108"/>
      <c r="C544" s="142"/>
      <c r="D544" s="108"/>
      <c r="E544" s="183" t="str">
        <f aca="false" t="array" ref="E544:E544">IF(B544="","",IFERROR(INDEX(Keywords!$B$5:$B$165,MAX(ISNUMBER(SEARCH(Keywords!$A$5:$A$165,B544))*(Keywords!$A$5:$A$165&lt;&gt;"")*ROW(Keywords!$A$5:$A$165))-4),""))</f>
        <v/>
      </c>
      <c r="F544" s="150" t="str">
        <f aca="false">IF(B544="","",IF(L544="Transfer","Transfer",IF(L544="Income","Income",IF(D544&lt;&gt;"",D544,IF(E544&lt;&gt;"",E544,"Uncategorized")))))</f>
        <v/>
      </c>
      <c r="G544" s="108"/>
      <c r="H544" s="184" t="str">
        <f aca="false">IF(A544="","",DATE(YEAR(A544),MONTH(A544),1))</f>
        <v/>
      </c>
      <c r="I544" s="185"/>
      <c r="J544" s="144"/>
      <c r="K544" s="159" t="str">
        <f aca="false">IF(C544="","",N(C544)/IF(N544&lt;&gt;"",N544,IF(J544="",1,IFERROR(INDEX(Setup!$C$23:$C$46,MATCH(J544,Setup!$A$23:$A$46,0)),1))))</f>
        <v/>
      </c>
      <c r="L544" s="144"/>
      <c r="M544" s="108"/>
      <c r="N544" s="111"/>
      <c r="O544" s="156" t="str">
        <f aca="false">IF(OR(B544="",L544="Transfer"),"",IF(COUNTIFS($B$5:$B$604,B544,$H$5:$H$604,EDATE(H544,-1),$C$5:$C$604,"&gt;="&amp;C544*0.85,$C$5:$C$604,"&lt;="&amp;C544*1.15)&gt;0,"recurring",""))</f>
        <v/>
      </c>
      <c r="P544" s="157" t="str">
        <f aca="false">IF(B544="","",IF(COUNTIF(B544:$B$604,B544)=1,1,""))</f>
        <v/>
      </c>
      <c r="Q544" s="157" t="str">
        <f aca="false">IF(AND(O544="recurring",P544=1),COUNTIFS($O$5:O544,"recurring",$P$5:P544,1),"")</f>
        <v/>
      </c>
    </row>
    <row r="545" customFormat="false" ht="15" hidden="false" customHeight="false" outlineLevel="0" collapsed="false">
      <c r="A545" s="110"/>
      <c r="B545" s="108"/>
      <c r="C545" s="142"/>
      <c r="D545" s="108"/>
      <c r="E545" s="183" t="str">
        <f aca="false" t="array" ref="E545:E545">IF(B545="","",IFERROR(INDEX(Keywords!$B$5:$B$165,MAX(ISNUMBER(SEARCH(Keywords!$A$5:$A$165,B545))*(Keywords!$A$5:$A$165&lt;&gt;"")*ROW(Keywords!$A$5:$A$165))-4),""))</f>
        <v/>
      </c>
      <c r="F545" s="150" t="str">
        <f aca="false">IF(B545="","",IF(L545="Transfer","Transfer",IF(L545="Income","Income",IF(D545&lt;&gt;"",D545,IF(E545&lt;&gt;"",E545,"Uncategorized")))))</f>
        <v/>
      </c>
      <c r="G545" s="108"/>
      <c r="H545" s="184" t="str">
        <f aca="false">IF(A545="","",DATE(YEAR(A545),MONTH(A545),1))</f>
        <v/>
      </c>
      <c r="I545" s="185"/>
      <c r="J545" s="144"/>
      <c r="K545" s="159" t="str">
        <f aca="false">IF(C545="","",N(C545)/IF(N545&lt;&gt;"",N545,IF(J545="",1,IFERROR(INDEX(Setup!$C$23:$C$46,MATCH(J545,Setup!$A$23:$A$46,0)),1))))</f>
        <v/>
      </c>
      <c r="L545" s="144"/>
      <c r="M545" s="108"/>
      <c r="N545" s="111"/>
      <c r="O545" s="156" t="str">
        <f aca="false">IF(OR(B545="",L545="Transfer"),"",IF(COUNTIFS($B$5:$B$604,B545,$H$5:$H$604,EDATE(H545,-1),$C$5:$C$604,"&gt;="&amp;C545*0.85,$C$5:$C$604,"&lt;="&amp;C545*1.15)&gt;0,"recurring",""))</f>
        <v/>
      </c>
      <c r="P545" s="157" t="str">
        <f aca="false">IF(B545="","",IF(COUNTIF(B545:$B$604,B545)=1,1,""))</f>
        <v/>
      </c>
      <c r="Q545" s="157" t="str">
        <f aca="false">IF(AND(O545="recurring",P545=1),COUNTIFS($O$5:O545,"recurring",$P$5:P545,1),"")</f>
        <v/>
      </c>
    </row>
    <row r="546" customFormat="false" ht="15" hidden="false" customHeight="false" outlineLevel="0" collapsed="false">
      <c r="A546" s="110"/>
      <c r="B546" s="108"/>
      <c r="C546" s="142"/>
      <c r="D546" s="108"/>
      <c r="E546" s="183" t="str">
        <f aca="false" t="array" ref="E546:E546">IF(B546="","",IFERROR(INDEX(Keywords!$B$5:$B$165,MAX(ISNUMBER(SEARCH(Keywords!$A$5:$A$165,B546))*(Keywords!$A$5:$A$165&lt;&gt;"")*ROW(Keywords!$A$5:$A$165))-4),""))</f>
        <v/>
      </c>
      <c r="F546" s="150" t="str">
        <f aca="false">IF(B546="","",IF(L546="Transfer","Transfer",IF(L546="Income","Income",IF(D546&lt;&gt;"",D546,IF(E546&lt;&gt;"",E546,"Uncategorized")))))</f>
        <v/>
      </c>
      <c r="G546" s="108"/>
      <c r="H546" s="184" t="str">
        <f aca="false">IF(A546="","",DATE(YEAR(A546),MONTH(A546),1))</f>
        <v/>
      </c>
      <c r="I546" s="185"/>
      <c r="J546" s="144"/>
      <c r="K546" s="159" t="str">
        <f aca="false">IF(C546="","",N(C546)/IF(N546&lt;&gt;"",N546,IF(J546="",1,IFERROR(INDEX(Setup!$C$23:$C$46,MATCH(J546,Setup!$A$23:$A$46,0)),1))))</f>
        <v/>
      </c>
      <c r="L546" s="144"/>
      <c r="M546" s="108"/>
      <c r="N546" s="111"/>
      <c r="O546" s="156" t="str">
        <f aca="false">IF(OR(B546="",L546="Transfer"),"",IF(COUNTIFS($B$5:$B$604,B546,$H$5:$H$604,EDATE(H546,-1),$C$5:$C$604,"&gt;="&amp;C546*0.85,$C$5:$C$604,"&lt;="&amp;C546*1.15)&gt;0,"recurring",""))</f>
        <v/>
      </c>
      <c r="P546" s="157" t="str">
        <f aca="false">IF(B546="","",IF(COUNTIF(B546:$B$604,B546)=1,1,""))</f>
        <v/>
      </c>
      <c r="Q546" s="157" t="str">
        <f aca="false">IF(AND(O546="recurring",P546=1),COUNTIFS($O$5:O546,"recurring",$P$5:P546,1),"")</f>
        <v/>
      </c>
    </row>
    <row r="547" customFormat="false" ht="15" hidden="false" customHeight="false" outlineLevel="0" collapsed="false">
      <c r="A547" s="110"/>
      <c r="B547" s="108"/>
      <c r="C547" s="142"/>
      <c r="D547" s="108"/>
      <c r="E547" s="183" t="str">
        <f aca="false" t="array" ref="E547:E547">IF(B547="","",IFERROR(INDEX(Keywords!$B$5:$B$165,MAX(ISNUMBER(SEARCH(Keywords!$A$5:$A$165,B547))*(Keywords!$A$5:$A$165&lt;&gt;"")*ROW(Keywords!$A$5:$A$165))-4),""))</f>
        <v/>
      </c>
      <c r="F547" s="150" t="str">
        <f aca="false">IF(B547="","",IF(L547="Transfer","Transfer",IF(L547="Income","Income",IF(D547&lt;&gt;"",D547,IF(E547&lt;&gt;"",E547,"Uncategorized")))))</f>
        <v/>
      </c>
      <c r="G547" s="108"/>
      <c r="H547" s="184" t="str">
        <f aca="false">IF(A547="","",DATE(YEAR(A547),MONTH(A547),1))</f>
        <v/>
      </c>
      <c r="I547" s="185"/>
      <c r="J547" s="144"/>
      <c r="K547" s="159" t="str">
        <f aca="false">IF(C547="","",N(C547)/IF(N547&lt;&gt;"",N547,IF(J547="",1,IFERROR(INDEX(Setup!$C$23:$C$46,MATCH(J547,Setup!$A$23:$A$46,0)),1))))</f>
        <v/>
      </c>
      <c r="L547" s="144"/>
      <c r="M547" s="108"/>
      <c r="N547" s="111"/>
      <c r="O547" s="156" t="str">
        <f aca="false">IF(OR(B547="",L547="Transfer"),"",IF(COUNTIFS($B$5:$B$604,B547,$H$5:$H$604,EDATE(H547,-1),$C$5:$C$604,"&gt;="&amp;C547*0.85,$C$5:$C$604,"&lt;="&amp;C547*1.15)&gt;0,"recurring",""))</f>
        <v/>
      </c>
      <c r="P547" s="157" t="str">
        <f aca="false">IF(B547="","",IF(COUNTIF(B547:$B$604,B547)=1,1,""))</f>
        <v/>
      </c>
      <c r="Q547" s="157" t="str">
        <f aca="false">IF(AND(O547="recurring",P547=1),COUNTIFS($O$5:O547,"recurring",$P$5:P547,1),"")</f>
        <v/>
      </c>
    </row>
    <row r="548" customFormat="false" ht="15" hidden="false" customHeight="false" outlineLevel="0" collapsed="false">
      <c r="A548" s="110"/>
      <c r="B548" s="108"/>
      <c r="C548" s="142"/>
      <c r="D548" s="108"/>
      <c r="E548" s="183" t="str">
        <f aca="false" t="array" ref="E548:E548">IF(B548="","",IFERROR(INDEX(Keywords!$B$5:$B$165,MAX(ISNUMBER(SEARCH(Keywords!$A$5:$A$165,B548))*(Keywords!$A$5:$A$165&lt;&gt;"")*ROW(Keywords!$A$5:$A$165))-4),""))</f>
        <v/>
      </c>
      <c r="F548" s="150" t="str">
        <f aca="false">IF(B548="","",IF(L548="Transfer","Transfer",IF(L548="Income","Income",IF(D548&lt;&gt;"",D548,IF(E548&lt;&gt;"",E548,"Uncategorized")))))</f>
        <v/>
      </c>
      <c r="G548" s="108"/>
      <c r="H548" s="184" t="str">
        <f aca="false">IF(A548="","",DATE(YEAR(A548),MONTH(A548),1))</f>
        <v/>
      </c>
      <c r="I548" s="185"/>
      <c r="J548" s="144"/>
      <c r="K548" s="159" t="str">
        <f aca="false">IF(C548="","",N(C548)/IF(N548&lt;&gt;"",N548,IF(J548="",1,IFERROR(INDEX(Setup!$C$23:$C$46,MATCH(J548,Setup!$A$23:$A$46,0)),1))))</f>
        <v/>
      </c>
      <c r="L548" s="144"/>
      <c r="M548" s="108"/>
      <c r="N548" s="111"/>
      <c r="O548" s="156" t="str">
        <f aca="false">IF(OR(B548="",L548="Transfer"),"",IF(COUNTIFS($B$5:$B$604,B548,$H$5:$H$604,EDATE(H548,-1),$C$5:$C$604,"&gt;="&amp;C548*0.85,$C$5:$C$604,"&lt;="&amp;C548*1.15)&gt;0,"recurring",""))</f>
        <v/>
      </c>
      <c r="P548" s="157" t="str">
        <f aca="false">IF(B548="","",IF(COUNTIF(B548:$B$604,B548)=1,1,""))</f>
        <v/>
      </c>
      <c r="Q548" s="157" t="str">
        <f aca="false">IF(AND(O548="recurring",P548=1),COUNTIFS($O$5:O548,"recurring",$P$5:P548,1),"")</f>
        <v/>
      </c>
    </row>
    <row r="549" customFormat="false" ht="15" hidden="false" customHeight="false" outlineLevel="0" collapsed="false">
      <c r="A549" s="110"/>
      <c r="B549" s="108"/>
      <c r="C549" s="142"/>
      <c r="D549" s="108"/>
      <c r="E549" s="183" t="str">
        <f aca="false" t="array" ref="E549:E549">IF(B549="","",IFERROR(INDEX(Keywords!$B$5:$B$165,MAX(ISNUMBER(SEARCH(Keywords!$A$5:$A$165,B549))*(Keywords!$A$5:$A$165&lt;&gt;"")*ROW(Keywords!$A$5:$A$165))-4),""))</f>
        <v/>
      </c>
      <c r="F549" s="150" t="str">
        <f aca="false">IF(B549="","",IF(L549="Transfer","Transfer",IF(L549="Income","Income",IF(D549&lt;&gt;"",D549,IF(E549&lt;&gt;"",E549,"Uncategorized")))))</f>
        <v/>
      </c>
      <c r="G549" s="108"/>
      <c r="H549" s="184" t="str">
        <f aca="false">IF(A549="","",DATE(YEAR(A549),MONTH(A549),1))</f>
        <v/>
      </c>
      <c r="I549" s="185"/>
      <c r="J549" s="144"/>
      <c r="K549" s="159" t="str">
        <f aca="false">IF(C549="","",N(C549)/IF(N549&lt;&gt;"",N549,IF(J549="",1,IFERROR(INDEX(Setup!$C$23:$C$46,MATCH(J549,Setup!$A$23:$A$46,0)),1))))</f>
        <v/>
      </c>
      <c r="L549" s="144"/>
      <c r="M549" s="108"/>
      <c r="N549" s="111"/>
      <c r="O549" s="156" t="str">
        <f aca="false">IF(OR(B549="",L549="Transfer"),"",IF(COUNTIFS($B$5:$B$604,B549,$H$5:$H$604,EDATE(H549,-1),$C$5:$C$604,"&gt;="&amp;C549*0.85,$C$5:$C$604,"&lt;="&amp;C549*1.15)&gt;0,"recurring",""))</f>
        <v/>
      </c>
      <c r="P549" s="157" t="str">
        <f aca="false">IF(B549="","",IF(COUNTIF(B549:$B$604,B549)=1,1,""))</f>
        <v/>
      </c>
      <c r="Q549" s="157" t="str">
        <f aca="false">IF(AND(O549="recurring",P549=1),COUNTIFS($O$5:O549,"recurring",$P$5:P549,1),"")</f>
        <v/>
      </c>
    </row>
    <row r="550" customFormat="false" ht="15" hidden="false" customHeight="false" outlineLevel="0" collapsed="false">
      <c r="A550" s="110"/>
      <c r="B550" s="108"/>
      <c r="C550" s="142"/>
      <c r="D550" s="108"/>
      <c r="E550" s="183" t="str">
        <f aca="false" t="array" ref="E550:E550">IF(B550="","",IFERROR(INDEX(Keywords!$B$5:$B$165,MAX(ISNUMBER(SEARCH(Keywords!$A$5:$A$165,B550))*(Keywords!$A$5:$A$165&lt;&gt;"")*ROW(Keywords!$A$5:$A$165))-4),""))</f>
        <v/>
      </c>
      <c r="F550" s="150" t="str">
        <f aca="false">IF(B550="","",IF(L550="Transfer","Transfer",IF(L550="Income","Income",IF(D550&lt;&gt;"",D550,IF(E550&lt;&gt;"",E550,"Uncategorized")))))</f>
        <v/>
      </c>
      <c r="G550" s="108"/>
      <c r="H550" s="184" t="str">
        <f aca="false">IF(A550="","",DATE(YEAR(A550),MONTH(A550),1))</f>
        <v/>
      </c>
      <c r="I550" s="185"/>
      <c r="J550" s="144"/>
      <c r="K550" s="159" t="str">
        <f aca="false">IF(C550="","",N(C550)/IF(N550&lt;&gt;"",N550,IF(J550="",1,IFERROR(INDEX(Setup!$C$23:$C$46,MATCH(J550,Setup!$A$23:$A$46,0)),1))))</f>
        <v/>
      </c>
      <c r="L550" s="144"/>
      <c r="M550" s="108"/>
      <c r="N550" s="111"/>
      <c r="O550" s="156" t="str">
        <f aca="false">IF(OR(B550="",L550="Transfer"),"",IF(COUNTIFS($B$5:$B$604,B550,$H$5:$H$604,EDATE(H550,-1),$C$5:$C$604,"&gt;="&amp;C550*0.85,$C$5:$C$604,"&lt;="&amp;C550*1.15)&gt;0,"recurring",""))</f>
        <v/>
      </c>
      <c r="P550" s="157" t="str">
        <f aca="false">IF(B550="","",IF(COUNTIF(B550:$B$604,B550)=1,1,""))</f>
        <v/>
      </c>
      <c r="Q550" s="157" t="str">
        <f aca="false">IF(AND(O550="recurring",P550=1),COUNTIFS($O$5:O550,"recurring",$P$5:P550,1),"")</f>
        <v/>
      </c>
    </row>
    <row r="551" customFormat="false" ht="15" hidden="false" customHeight="false" outlineLevel="0" collapsed="false">
      <c r="A551" s="110"/>
      <c r="B551" s="108"/>
      <c r="C551" s="142"/>
      <c r="D551" s="108"/>
      <c r="E551" s="183" t="str">
        <f aca="false" t="array" ref="E551:E551">IF(B551="","",IFERROR(INDEX(Keywords!$B$5:$B$165,MAX(ISNUMBER(SEARCH(Keywords!$A$5:$A$165,B551))*(Keywords!$A$5:$A$165&lt;&gt;"")*ROW(Keywords!$A$5:$A$165))-4),""))</f>
        <v/>
      </c>
      <c r="F551" s="150" t="str">
        <f aca="false">IF(B551="","",IF(L551="Transfer","Transfer",IF(L551="Income","Income",IF(D551&lt;&gt;"",D551,IF(E551&lt;&gt;"",E551,"Uncategorized")))))</f>
        <v/>
      </c>
      <c r="G551" s="108"/>
      <c r="H551" s="184" t="str">
        <f aca="false">IF(A551="","",DATE(YEAR(A551),MONTH(A551),1))</f>
        <v/>
      </c>
      <c r="I551" s="185"/>
      <c r="J551" s="144"/>
      <c r="K551" s="159" t="str">
        <f aca="false">IF(C551="","",N(C551)/IF(N551&lt;&gt;"",N551,IF(J551="",1,IFERROR(INDEX(Setup!$C$23:$C$46,MATCH(J551,Setup!$A$23:$A$46,0)),1))))</f>
        <v/>
      </c>
      <c r="L551" s="144"/>
      <c r="M551" s="108"/>
      <c r="N551" s="111"/>
      <c r="O551" s="156" t="str">
        <f aca="false">IF(OR(B551="",L551="Transfer"),"",IF(COUNTIFS($B$5:$B$604,B551,$H$5:$H$604,EDATE(H551,-1),$C$5:$C$604,"&gt;="&amp;C551*0.85,$C$5:$C$604,"&lt;="&amp;C551*1.15)&gt;0,"recurring",""))</f>
        <v/>
      </c>
      <c r="P551" s="157" t="str">
        <f aca="false">IF(B551="","",IF(COUNTIF(B551:$B$604,B551)=1,1,""))</f>
        <v/>
      </c>
      <c r="Q551" s="157" t="str">
        <f aca="false">IF(AND(O551="recurring",P551=1),COUNTIFS($O$5:O551,"recurring",$P$5:P551,1),"")</f>
        <v/>
      </c>
    </row>
    <row r="552" customFormat="false" ht="15" hidden="false" customHeight="false" outlineLevel="0" collapsed="false">
      <c r="A552" s="110"/>
      <c r="B552" s="108"/>
      <c r="C552" s="142"/>
      <c r="D552" s="108"/>
      <c r="E552" s="183" t="str">
        <f aca="false" t="array" ref="E552:E552">IF(B552="","",IFERROR(INDEX(Keywords!$B$5:$B$165,MAX(ISNUMBER(SEARCH(Keywords!$A$5:$A$165,B552))*(Keywords!$A$5:$A$165&lt;&gt;"")*ROW(Keywords!$A$5:$A$165))-4),""))</f>
        <v/>
      </c>
      <c r="F552" s="150" t="str">
        <f aca="false">IF(B552="","",IF(L552="Transfer","Transfer",IF(L552="Income","Income",IF(D552&lt;&gt;"",D552,IF(E552&lt;&gt;"",E552,"Uncategorized")))))</f>
        <v/>
      </c>
      <c r="G552" s="108"/>
      <c r="H552" s="184" t="str">
        <f aca="false">IF(A552="","",DATE(YEAR(A552),MONTH(A552),1))</f>
        <v/>
      </c>
      <c r="I552" s="185"/>
      <c r="J552" s="144"/>
      <c r="K552" s="159" t="str">
        <f aca="false">IF(C552="","",N(C552)/IF(N552&lt;&gt;"",N552,IF(J552="",1,IFERROR(INDEX(Setup!$C$23:$C$46,MATCH(J552,Setup!$A$23:$A$46,0)),1))))</f>
        <v/>
      </c>
      <c r="L552" s="144"/>
      <c r="M552" s="108"/>
      <c r="N552" s="111"/>
      <c r="O552" s="156" t="str">
        <f aca="false">IF(OR(B552="",L552="Transfer"),"",IF(COUNTIFS($B$5:$B$604,B552,$H$5:$H$604,EDATE(H552,-1),$C$5:$C$604,"&gt;="&amp;C552*0.85,$C$5:$C$604,"&lt;="&amp;C552*1.15)&gt;0,"recurring",""))</f>
        <v/>
      </c>
      <c r="P552" s="157" t="str">
        <f aca="false">IF(B552="","",IF(COUNTIF(B552:$B$604,B552)=1,1,""))</f>
        <v/>
      </c>
      <c r="Q552" s="157" t="str">
        <f aca="false">IF(AND(O552="recurring",P552=1),COUNTIFS($O$5:O552,"recurring",$P$5:P552,1),"")</f>
        <v/>
      </c>
    </row>
    <row r="553" customFormat="false" ht="15" hidden="false" customHeight="false" outlineLevel="0" collapsed="false">
      <c r="A553" s="110"/>
      <c r="B553" s="108"/>
      <c r="C553" s="142"/>
      <c r="D553" s="108"/>
      <c r="E553" s="183" t="str">
        <f aca="false" t="array" ref="E553:E553">IF(B553="","",IFERROR(INDEX(Keywords!$B$5:$B$165,MAX(ISNUMBER(SEARCH(Keywords!$A$5:$A$165,B553))*(Keywords!$A$5:$A$165&lt;&gt;"")*ROW(Keywords!$A$5:$A$165))-4),""))</f>
        <v/>
      </c>
      <c r="F553" s="150" t="str">
        <f aca="false">IF(B553="","",IF(L553="Transfer","Transfer",IF(L553="Income","Income",IF(D553&lt;&gt;"",D553,IF(E553&lt;&gt;"",E553,"Uncategorized")))))</f>
        <v/>
      </c>
      <c r="G553" s="108"/>
      <c r="H553" s="184" t="str">
        <f aca="false">IF(A553="","",DATE(YEAR(A553),MONTH(A553),1))</f>
        <v/>
      </c>
      <c r="I553" s="185"/>
      <c r="J553" s="144"/>
      <c r="K553" s="159" t="str">
        <f aca="false">IF(C553="","",N(C553)/IF(N553&lt;&gt;"",N553,IF(J553="",1,IFERROR(INDEX(Setup!$C$23:$C$46,MATCH(J553,Setup!$A$23:$A$46,0)),1))))</f>
        <v/>
      </c>
      <c r="L553" s="144"/>
      <c r="M553" s="108"/>
      <c r="N553" s="111"/>
      <c r="O553" s="156" t="str">
        <f aca="false">IF(OR(B553="",L553="Transfer"),"",IF(COUNTIFS($B$5:$B$604,B553,$H$5:$H$604,EDATE(H553,-1),$C$5:$C$604,"&gt;="&amp;C553*0.85,$C$5:$C$604,"&lt;="&amp;C553*1.15)&gt;0,"recurring",""))</f>
        <v/>
      </c>
      <c r="P553" s="157" t="str">
        <f aca="false">IF(B553="","",IF(COUNTIF(B553:$B$604,B553)=1,1,""))</f>
        <v/>
      </c>
      <c r="Q553" s="157" t="str">
        <f aca="false">IF(AND(O553="recurring",P553=1),COUNTIFS($O$5:O553,"recurring",$P$5:P553,1),"")</f>
        <v/>
      </c>
    </row>
    <row r="554" customFormat="false" ht="15" hidden="false" customHeight="false" outlineLevel="0" collapsed="false">
      <c r="A554" s="110"/>
      <c r="B554" s="108"/>
      <c r="C554" s="142"/>
      <c r="D554" s="108"/>
      <c r="E554" s="183" t="str">
        <f aca="false" t="array" ref="E554:E554">IF(B554="","",IFERROR(INDEX(Keywords!$B$5:$B$165,MAX(ISNUMBER(SEARCH(Keywords!$A$5:$A$165,B554))*(Keywords!$A$5:$A$165&lt;&gt;"")*ROW(Keywords!$A$5:$A$165))-4),""))</f>
        <v/>
      </c>
      <c r="F554" s="150" t="str">
        <f aca="false">IF(B554="","",IF(L554="Transfer","Transfer",IF(L554="Income","Income",IF(D554&lt;&gt;"",D554,IF(E554&lt;&gt;"",E554,"Uncategorized")))))</f>
        <v/>
      </c>
      <c r="G554" s="108"/>
      <c r="H554" s="184" t="str">
        <f aca="false">IF(A554="","",DATE(YEAR(A554),MONTH(A554),1))</f>
        <v/>
      </c>
      <c r="I554" s="185"/>
      <c r="J554" s="144"/>
      <c r="K554" s="159" t="str">
        <f aca="false">IF(C554="","",N(C554)/IF(N554&lt;&gt;"",N554,IF(J554="",1,IFERROR(INDEX(Setup!$C$23:$C$46,MATCH(J554,Setup!$A$23:$A$46,0)),1))))</f>
        <v/>
      </c>
      <c r="L554" s="144"/>
      <c r="M554" s="108"/>
      <c r="N554" s="111"/>
      <c r="O554" s="156" t="str">
        <f aca="false">IF(OR(B554="",L554="Transfer"),"",IF(COUNTIFS($B$5:$B$604,B554,$H$5:$H$604,EDATE(H554,-1),$C$5:$C$604,"&gt;="&amp;C554*0.85,$C$5:$C$604,"&lt;="&amp;C554*1.15)&gt;0,"recurring",""))</f>
        <v/>
      </c>
      <c r="P554" s="157" t="str">
        <f aca="false">IF(B554="","",IF(COUNTIF(B554:$B$604,B554)=1,1,""))</f>
        <v/>
      </c>
      <c r="Q554" s="157" t="str">
        <f aca="false">IF(AND(O554="recurring",P554=1),COUNTIFS($O$5:O554,"recurring",$P$5:P554,1),"")</f>
        <v/>
      </c>
    </row>
    <row r="555" customFormat="false" ht="15" hidden="false" customHeight="false" outlineLevel="0" collapsed="false">
      <c r="A555" s="110"/>
      <c r="B555" s="108"/>
      <c r="C555" s="142"/>
      <c r="D555" s="108"/>
      <c r="E555" s="183" t="str">
        <f aca="false" t="array" ref="E555:E555">IF(B555="","",IFERROR(INDEX(Keywords!$B$5:$B$165,MAX(ISNUMBER(SEARCH(Keywords!$A$5:$A$165,B555))*(Keywords!$A$5:$A$165&lt;&gt;"")*ROW(Keywords!$A$5:$A$165))-4),""))</f>
        <v/>
      </c>
      <c r="F555" s="150" t="str">
        <f aca="false">IF(B555="","",IF(L555="Transfer","Transfer",IF(L555="Income","Income",IF(D555&lt;&gt;"",D555,IF(E555&lt;&gt;"",E555,"Uncategorized")))))</f>
        <v/>
      </c>
      <c r="G555" s="108"/>
      <c r="H555" s="184" t="str">
        <f aca="false">IF(A555="","",DATE(YEAR(A555),MONTH(A555),1))</f>
        <v/>
      </c>
      <c r="I555" s="185"/>
      <c r="J555" s="144"/>
      <c r="K555" s="159" t="str">
        <f aca="false">IF(C555="","",N(C555)/IF(N555&lt;&gt;"",N555,IF(J555="",1,IFERROR(INDEX(Setup!$C$23:$C$46,MATCH(J555,Setup!$A$23:$A$46,0)),1))))</f>
        <v/>
      </c>
      <c r="L555" s="144"/>
      <c r="M555" s="108"/>
      <c r="N555" s="111"/>
      <c r="O555" s="156" t="str">
        <f aca="false">IF(OR(B555="",L555="Transfer"),"",IF(COUNTIFS($B$5:$B$604,B555,$H$5:$H$604,EDATE(H555,-1),$C$5:$C$604,"&gt;="&amp;C555*0.85,$C$5:$C$604,"&lt;="&amp;C555*1.15)&gt;0,"recurring",""))</f>
        <v/>
      </c>
      <c r="P555" s="157" t="str">
        <f aca="false">IF(B555="","",IF(COUNTIF(B555:$B$604,B555)=1,1,""))</f>
        <v/>
      </c>
      <c r="Q555" s="157" t="str">
        <f aca="false">IF(AND(O555="recurring",P555=1),COUNTIFS($O$5:O555,"recurring",$P$5:P555,1),"")</f>
        <v/>
      </c>
    </row>
    <row r="556" customFormat="false" ht="15" hidden="false" customHeight="false" outlineLevel="0" collapsed="false">
      <c r="A556" s="110"/>
      <c r="B556" s="108"/>
      <c r="C556" s="142"/>
      <c r="D556" s="108"/>
      <c r="E556" s="183" t="str">
        <f aca="false" t="array" ref="E556:E556">IF(B556="","",IFERROR(INDEX(Keywords!$B$5:$B$165,MAX(ISNUMBER(SEARCH(Keywords!$A$5:$A$165,B556))*(Keywords!$A$5:$A$165&lt;&gt;"")*ROW(Keywords!$A$5:$A$165))-4),""))</f>
        <v/>
      </c>
      <c r="F556" s="150" t="str">
        <f aca="false">IF(B556="","",IF(L556="Transfer","Transfer",IF(L556="Income","Income",IF(D556&lt;&gt;"",D556,IF(E556&lt;&gt;"",E556,"Uncategorized")))))</f>
        <v/>
      </c>
      <c r="G556" s="108"/>
      <c r="H556" s="184" t="str">
        <f aca="false">IF(A556="","",DATE(YEAR(A556),MONTH(A556),1))</f>
        <v/>
      </c>
      <c r="I556" s="185"/>
      <c r="J556" s="144"/>
      <c r="K556" s="159" t="str">
        <f aca="false">IF(C556="","",N(C556)/IF(N556&lt;&gt;"",N556,IF(J556="",1,IFERROR(INDEX(Setup!$C$23:$C$46,MATCH(J556,Setup!$A$23:$A$46,0)),1))))</f>
        <v/>
      </c>
      <c r="L556" s="144"/>
      <c r="M556" s="108"/>
      <c r="N556" s="111"/>
      <c r="O556" s="156" t="str">
        <f aca="false">IF(OR(B556="",L556="Transfer"),"",IF(COUNTIFS($B$5:$B$604,B556,$H$5:$H$604,EDATE(H556,-1),$C$5:$C$604,"&gt;="&amp;C556*0.85,$C$5:$C$604,"&lt;="&amp;C556*1.15)&gt;0,"recurring",""))</f>
        <v/>
      </c>
      <c r="P556" s="157" t="str">
        <f aca="false">IF(B556="","",IF(COUNTIF(B556:$B$604,B556)=1,1,""))</f>
        <v/>
      </c>
      <c r="Q556" s="157" t="str">
        <f aca="false">IF(AND(O556="recurring",P556=1),COUNTIFS($O$5:O556,"recurring",$P$5:P556,1),"")</f>
        <v/>
      </c>
    </row>
    <row r="557" customFormat="false" ht="15" hidden="false" customHeight="false" outlineLevel="0" collapsed="false">
      <c r="A557" s="110"/>
      <c r="B557" s="108"/>
      <c r="C557" s="142"/>
      <c r="D557" s="108"/>
      <c r="E557" s="183" t="str">
        <f aca="false" t="array" ref="E557:E557">IF(B557="","",IFERROR(INDEX(Keywords!$B$5:$B$165,MAX(ISNUMBER(SEARCH(Keywords!$A$5:$A$165,B557))*(Keywords!$A$5:$A$165&lt;&gt;"")*ROW(Keywords!$A$5:$A$165))-4),""))</f>
        <v/>
      </c>
      <c r="F557" s="150" t="str">
        <f aca="false">IF(B557="","",IF(L557="Transfer","Transfer",IF(L557="Income","Income",IF(D557&lt;&gt;"",D557,IF(E557&lt;&gt;"",E557,"Uncategorized")))))</f>
        <v/>
      </c>
      <c r="G557" s="108"/>
      <c r="H557" s="184" t="str">
        <f aca="false">IF(A557="","",DATE(YEAR(A557),MONTH(A557),1))</f>
        <v/>
      </c>
      <c r="I557" s="185"/>
      <c r="J557" s="144"/>
      <c r="K557" s="159" t="str">
        <f aca="false">IF(C557="","",N(C557)/IF(N557&lt;&gt;"",N557,IF(J557="",1,IFERROR(INDEX(Setup!$C$23:$C$46,MATCH(J557,Setup!$A$23:$A$46,0)),1))))</f>
        <v/>
      </c>
      <c r="L557" s="144"/>
      <c r="M557" s="108"/>
      <c r="N557" s="111"/>
      <c r="O557" s="156" t="str">
        <f aca="false">IF(OR(B557="",L557="Transfer"),"",IF(COUNTIFS($B$5:$B$604,B557,$H$5:$H$604,EDATE(H557,-1),$C$5:$C$604,"&gt;="&amp;C557*0.85,$C$5:$C$604,"&lt;="&amp;C557*1.15)&gt;0,"recurring",""))</f>
        <v/>
      </c>
      <c r="P557" s="157" t="str">
        <f aca="false">IF(B557="","",IF(COUNTIF(B557:$B$604,B557)=1,1,""))</f>
        <v/>
      </c>
      <c r="Q557" s="157" t="str">
        <f aca="false">IF(AND(O557="recurring",P557=1),COUNTIFS($O$5:O557,"recurring",$P$5:P557,1),"")</f>
        <v/>
      </c>
    </row>
    <row r="558" customFormat="false" ht="15" hidden="false" customHeight="false" outlineLevel="0" collapsed="false">
      <c r="A558" s="110"/>
      <c r="B558" s="108"/>
      <c r="C558" s="142"/>
      <c r="D558" s="108"/>
      <c r="E558" s="183" t="str">
        <f aca="false" t="array" ref="E558:E558">IF(B558="","",IFERROR(INDEX(Keywords!$B$5:$B$165,MAX(ISNUMBER(SEARCH(Keywords!$A$5:$A$165,B558))*(Keywords!$A$5:$A$165&lt;&gt;"")*ROW(Keywords!$A$5:$A$165))-4),""))</f>
        <v/>
      </c>
      <c r="F558" s="150" t="str">
        <f aca="false">IF(B558="","",IF(L558="Transfer","Transfer",IF(L558="Income","Income",IF(D558&lt;&gt;"",D558,IF(E558&lt;&gt;"",E558,"Uncategorized")))))</f>
        <v/>
      </c>
      <c r="G558" s="108"/>
      <c r="H558" s="184" t="str">
        <f aca="false">IF(A558="","",DATE(YEAR(A558),MONTH(A558),1))</f>
        <v/>
      </c>
      <c r="I558" s="185"/>
      <c r="J558" s="144"/>
      <c r="K558" s="159" t="str">
        <f aca="false">IF(C558="","",N(C558)/IF(N558&lt;&gt;"",N558,IF(J558="",1,IFERROR(INDEX(Setup!$C$23:$C$46,MATCH(J558,Setup!$A$23:$A$46,0)),1))))</f>
        <v/>
      </c>
      <c r="L558" s="144"/>
      <c r="M558" s="108"/>
      <c r="N558" s="111"/>
      <c r="O558" s="156" t="str">
        <f aca="false">IF(OR(B558="",L558="Transfer"),"",IF(COUNTIFS($B$5:$B$604,B558,$H$5:$H$604,EDATE(H558,-1),$C$5:$C$604,"&gt;="&amp;C558*0.85,$C$5:$C$604,"&lt;="&amp;C558*1.15)&gt;0,"recurring",""))</f>
        <v/>
      </c>
      <c r="P558" s="157" t="str">
        <f aca="false">IF(B558="","",IF(COUNTIF(B558:$B$604,B558)=1,1,""))</f>
        <v/>
      </c>
      <c r="Q558" s="157" t="str">
        <f aca="false">IF(AND(O558="recurring",P558=1),COUNTIFS($O$5:O558,"recurring",$P$5:P558,1),"")</f>
        <v/>
      </c>
    </row>
    <row r="559" customFormat="false" ht="15" hidden="false" customHeight="false" outlineLevel="0" collapsed="false">
      <c r="A559" s="110"/>
      <c r="B559" s="108"/>
      <c r="C559" s="142"/>
      <c r="D559" s="108"/>
      <c r="E559" s="183" t="str">
        <f aca="false" t="array" ref="E559:E559">IF(B559="","",IFERROR(INDEX(Keywords!$B$5:$B$165,MAX(ISNUMBER(SEARCH(Keywords!$A$5:$A$165,B559))*(Keywords!$A$5:$A$165&lt;&gt;"")*ROW(Keywords!$A$5:$A$165))-4),""))</f>
        <v/>
      </c>
      <c r="F559" s="150" t="str">
        <f aca="false">IF(B559="","",IF(L559="Transfer","Transfer",IF(L559="Income","Income",IF(D559&lt;&gt;"",D559,IF(E559&lt;&gt;"",E559,"Uncategorized")))))</f>
        <v/>
      </c>
      <c r="G559" s="108"/>
      <c r="H559" s="184" t="str">
        <f aca="false">IF(A559="","",DATE(YEAR(A559),MONTH(A559),1))</f>
        <v/>
      </c>
      <c r="I559" s="185"/>
      <c r="J559" s="144"/>
      <c r="K559" s="159" t="str">
        <f aca="false">IF(C559="","",N(C559)/IF(N559&lt;&gt;"",N559,IF(J559="",1,IFERROR(INDEX(Setup!$C$23:$C$46,MATCH(J559,Setup!$A$23:$A$46,0)),1))))</f>
        <v/>
      </c>
      <c r="L559" s="144"/>
      <c r="M559" s="108"/>
      <c r="N559" s="111"/>
      <c r="O559" s="156" t="str">
        <f aca="false">IF(OR(B559="",L559="Transfer"),"",IF(COUNTIFS($B$5:$B$604,B559,$H$5:$H$604,EDATE(H559,-1),$C$5:$C$604,"&gt;="&amp;C559*0.85,$C$5:$C$604,"&lt;="&amp;C559*1.15)&gt;0,"recurring",""))</f>
        <v/>
      </c>
      <c r="P559" s="157" t="str">
        <f aca="false">IF(B559="","",IF(COUNTIF(B559:$B$604,B559)=1,1,""))</f>
        <v/>
      </c>
      <c r="Q559" s="157" t="str">
        <f aca="false">IF(AND(O559="recurring",P559=1),COUNTIFS($O$5:O559,"recurring",$P$5:P559,1),"")</f>
        <v/>
      </c>
    </row>
    <row r="560" customFormat="false" ht="15" hidden="false" customHeight="false" outlineLevel="0" collapsed="false">
      <c r="A560" s="110"/>
      <c r="B560" s="108"/>
      <c r="C560" s="142"/>
      <c r="D560" s="108"/>
      <c r="E560" s="183" t="str">
        <f aca="false" t="array" ref="E560:E560">IF(B560="","",IFERROR(INDEX(Keywords!$B$5:$B$165,MAX(ISNUMBER(SEARCH(Keywords!$A$5:$A$165,B560))*(Keywords!$A$5:$A$165&lt;&gt;"")*ROW(Keywords!$A$5:$A$165))-4),""))</f>
        <v/>
      </c>
      <c r="F560" s="150" t="str">
        <f aca="false">IF(B560="","",IF(L560="Transfer","Transfer",IF(L560="Income","Income",IF(D560&lt;&gt;"",D560,IF(E560&lt;&gt;"",E560,"Uncategorized")))))</f>
        <v/>
      </c>
      <c r="G560" s="108"/>
      <c r="H560" s="184" t="str">
        <f aca="false">IF(A560="","",DATE(YEAR(A560),MONTH(A560),1))</f>
        <v/>
      </c>
      <c r="I560" s="185"/>
      <c r="J560" s="144"/>
      <c r="K560" s="159" t="str">
        <f aca="false">IF(C560="","",N(C560)/IF(N560&lt;&gt;"",N560,IF(J560="",1,IFERROR(INDEX(Setup!$C$23:$C$46,MATCH(J560,Setup!$A$23:$A$46,0)),1))))</f>
        <v/>
      </c>
      <c r="L560" s="144"/>
      <c r="M560" s="108"/>
      <c r="N560" s="111"/>
      <c r="O560" s="156" t="str">
        <f aca="false">IF(OR(B560="",L560="Transfer"),"",IF(COUNTIFS($B$5:$B$604,B560,$H$5:$H$604,EDATE(H560,-1),$C$5:$C$604,"&gt;="&amp;C560*0.85,$C$5:$C$604,"&lt;="&amp;C560*1.15)&gt;0,"recurring",""))</f>
        <v/>
      </c>
      <c r="P560" s="157" t="str">
        <f aca="false">IF(B560="","",IF(COUNTIF(B560:$B$604,B560)=1,1,""))</f>
        <v/>
      </c>
      <c r="Q560" s="157" t="str">
        <f aca="false">IF(AND(O560="recurring",P560=1),COUNTIFS($O$5:O560,"recurring",$P$5:P560,1),"")</f>
        <v/>
      </c>
    </row>
    <row r="561" customFormat="false" ht="15" hidden="false" customHeight="false" outlineLevel="0" collapsed="false">
      <c r="A561" s="110"/>
      <c r="B561" s="108"/>
      <c r="C561" s="142"/>
      <c r="D561" s="108"/>
      <c r="E561" s="183" t="str">
        <f aca="false" t="array" ref="E561:E561">IF(B561="","",IFERROR(INDEX(Keywords!$B$5:$B$165,MAX(ISNUMBER(SEARCH(Keywords!$A$5:$A$165,B561))*(Keywords!$A$5:$A$165&lt;&gt;"")*ROW(Keywords!$A$5:$A$165))-4),""))</f>
        <v/>
      </c>
      <c r="F561" s="150" t="str">
        <f aca="false">IF(B561="","",IF(L561="Transfer","Transfer",IF(L561="Income","Income",IF(D561&lt;&gt;"",D561,IF(E561&lt;&gt;"",E561,"Uncategorized")))))</f>
        <v/>
      </c>
      <c r="G561" s="108"/>
      <c r="H561" s="184" t="str">
        <f aca="false">IF(A561="","",DATE(YEAR(A561),MONTH(A561),1))</f>
        <v/>
      </c>
      <c r="I561" s="185"/>
      <c r="J561" s="144"/>
      <c r="K561" s="159" t="str">
        <f aca="false">IF(C561="","",N(C561)/IF(N561&lt;&gt;"",N561,IF(J561="",1,IFERROR(INDEX(Setup!$C$23:$C$46,MATCH(J561,Setup!$A$23:$A$46,0)),1))))</f>
        <v/>
      </c>
      <c r="L561" s="144"/>
      <c r="M561" s="108"/>
      <c r="N561" s="111"/>
      <c r="O561" s="156" t="str">
        <f aca="false">IF(OR(B561="",L561="Transfer"),"",IF(COUNTIFS($B$5:$B$604,B561,$H$5:$H$604,EDATE(H561,-1),$C$5:$C$604,"&gt;="&amp;C561*0.85,$C$5:$C$604,"&lt;="&amp;C561*1.15)&gt;0,"recurring",""))</f>
        <v/>
      </c>
      <c r="P561" s="157" t="str">
        <f aca="false">IF(B561="","",IF(COUNTIF(B561:$B$604,B561)=1,1,""))</f>
        <v/>
      </c>
      <c r="Q561" s="157" t="str">
        <f aca="false">IF(AND(O561="recurring",P561=1),COUNTIFS($O$5:O561,"recurring",$P$5:P561,1),"")</f>
        <v/>
      </c>
    </row>
    <row r="562" customFormat="false" ht="15" hidden="false" customHeight="false" outlineLevel="0" collapsed="false">
      <c r="A562" s="110"/>
      <c r="B562" s="108"/>
      <c r="C562" s="142"/>
      <c r="D562" s="108"/>
      <c r="E562" s="183" t="str">
        <f aca="false" t="array" ref="E562:E562">IF(B562="","",IFERROR(INDEX(Keywords!$B$5:$B$165,MAX(ISNUMBER(SEARCH(Keywords!$A$5:$A$165,B562))*(Keywords!$A$5:$A$165&lt;&gt;"")*ROW(Keywords!$A$5:$A$165))-4),""))</f>
        <v/>
      </c>
      <c r="F562" s="150" t="str">
        <f aca="false">IF(B562="","",IF(L562="Transfer","Transfer",IF(L562="Income","Income",IF(D562&lt;&gt;"",D562,IF(E562&lt;&gt;"",E562,"Uncategorized")))))</f>
        <v/>
      </c>
      <c r="G562" s="108"/>
      <c r="H562" s="184" t="str">
        <f aca="false">IF(A562="","",DATE(YEAR(A562),MONTH(A562),1))</f>
        <v/>
      </c>
      <c r="I562" s="185"/>
      <c r="J562" s="144"/>
      <c r="K562" s="159" t="str">
        <f aca="false">IF(C562="","",N(C562)/IF(N562&lt;&gt;"",N562,IF(J562="",1,IFERROR(INDEX(Setup!$C$23:$C$46,MATCH(J562,Setup!$A$23:$A$46,0)),1))))</f>
        <v/>
      </c>
      <c r="L562" s="144"/>
      <c r="M562" s="108"/>
      <c r="N562" s="111"/>
      <c r="O562" s="156" t="str">
        <f aca="false">IF(OR(B562="",L562="Transfer"),"",IF(COUNTIFS($B$5:$B$604,B562,$H$5:$H$604,EDATE(H562,-1),$C$5:$C$604,"&gt;="&amp;C562*0.85,$C$5:$C$604,"&lt;="&amp;C562*1.15)&gt;0,"recurring",""))</f>
        <v/>
      </c>
      <c r="P562" s="157" t="str">
        <f aca="false">IF(B562="","",IF(COUNTIF(B562:$B$604,B562)=1,1,""))</f>
        <v/>
      </c>
      <c r="Q562" s="157" t="str">
        <f aca="false">IF(AND(O562="recurring",P562=1),COUNTIFS($O$5:O562,"recurring",$P$5:P562,1),"")</f>
        <v/>
      </c>
    </row>
    <row r="563" customFormat="false" ht="15" hidden="false" customHeight="false" outlineLevel="0" collapsed="false">
      <c r="A563" s="110"/>
      <c r="B563" s="108"/>
      <c r="C563" s="142"/>
      <c r="D563" s="108"/>
      <c r="E563" s="183" t="str">
        <f aca="false" t="array" ref="E563:E563">IF(B563="","",IFERROR(INDEX(Keywords!$B$5:$B$165,MAX(ISNUMBER(SEARCH(Keywords!$A$5:$A$165,B563))*(Keywords!$A$5:$A$165&lt;&gt;"")*ROW(Keywords!$A$5:$A$165))-4),""))</f>
        <v/>
      </c>
      <c r="F563" s="150" t="str">
        <f aca="false">IF(B563="","",IF(L563="Transfer","Transfer",IF(L563="Income","Income",IF(D563&lt;&gt;"",D563,IF(E563&lt;&gt;"",E563,"Uncategorized")))))</f>
        <v/>
      </c>
      <c r="G563" s="108"/>
      <c r="H563" s="184" t="str">
        <f aca="false">IF(A563="","",DATE(YEAR(A563),MONTH(A563),1))</f>
        <v/>
      </c>
      <c r="I563" s="185"/>
      <c r="J563" s="144"/>
      <c r="K563" s="159" t="str">
        <f aca="false">IF(C563="","",N(C563)/IF(N563&lt;&gt;"",N563,IF(J563="",1,IFERROR(INDEX(Setup!$C$23:$C$46,MATCH(J563,Setup!$A$23:$A$46,0)),1))))</f>
        <v/>
      </c>
      <c r="L563" s="144"/>
      <c r="M563" s="108"/>
      <c r="N563" s="111"/>
      <c r="O563" s="156" t="str">
        <f aca="false">IF(OR(B563="",L563="Transfer"),"",IF(COUNTIFS($B$5:$B$604,B563,$H$5:$H$604,EDATE(H563,-1),$C$5:$C$604,"&gt;="&amp;C563*0.85,$C$5:$C$604,"&lt;="&amp;C563*1.15)&gt;0,"recurring",""))</f>
        <v/>
      </c>
      <c r="P563" s="157" t="str">
        <f aca="false">IF(B563="","",IF(COUNTIF(B563:$B$604,B563)=1,1,""))</f>
        <v/>
      </c>
      <c r="Q563" s="157" t="str">
        <f aca="false">IF(AND(O563="recurring",P563=1),COUNTIFS($O$5:O563,"recurring",$P$5:P563,1),"")</f>
        <v/>
      </c>
    </row>
    <row r="564" customFormat="false" ht="15" hidden="false" customHeight="false" outlineLevel="0" collapsed="false">
      <c r="A564" s="110"/>
      <c r="B564" s="108"/>
      <c r="C564" s="142"/>
      <c r="D564" s="108"/>
      <c r="E564" s="183" t="str">
        <f aca="false" t="array" ref="E564:E564">IF(B564="","",IFERROR(INDEX(Keywords!$B$5:$B$165,MAX(ISNUMBER(SEARCH(Keywords!$A$5:$A$165,B564))*(Keywords!$A$5:$A$165&lt;&gt;"")*ROW(Keywords!$A$5:$A$165))-4),""))</f>
        <v/>
      </c>
      <c r="F564" s="150" t="str">
        <f aca="false">IF(B564="","",IF(L564="Transfer","Transfer",IF(L564="Income","Income",IF(D564&lt;&gt;"",D564,IF(E564&lt;&gt;"",E564,"Uncategorized")))))</f>
        <v/>
      </c>
      <c r="G564" s="108"/>
      <c r="H564" s="184" t="str">
        <f aca="false">IF(A564="","",DATE(YEAR(A564),MONTH(A564),1))</f>
        <v/>
      </c>
      <c r="I564" s="185"/>
      <c r="J564" s="144"/>
      <c r="K564" s="159" t="str">
        <f aca="false">IF(C564="","",N(C564)/IF(N564&lt;&gt;"",N564,IF(J564="",1,IFERROR(INDEX(Setup!$C$23:$C$46,MATCH(J564,Setup!$A$23:$A$46,0)),1))))</f>
        <v/>
      </c>
      <c r="L564" s="144"/>
      <c r="M564" s="108"/>
      <c r="N564" s="111"/>
      <c r="O564" s="156" t="str">
        <f aca="false">IF(OR(B564="",L564="Transfer"),"",IF(COUNTIFS($B$5:$B$604,B564,$H$5:$H$604,EDATE(H564,-1),$C$5:$C$604,"&gt;="&amp;C564*0.85,$C$5:$C$604,"&lt;="&amp;C564*1.15)&gt;0,"recurring",""))</f>
        <v/>
      </c>
      <c r="P564" s="157" t="str">
        <f aca="false">IF(B564="","",IF(COUNTIF(B564:$B$604,B564)=1,1,""))</f>
        <v/>
      </c>
      <c r="Q564" s="157" t="str">
        <f aca="false">IF(AND(O564="recurring",P564=1),COUNTIFS($O$5:O564,"recurring",$P$5:P564,1),"")</f>
        <v/>
      </c>
    </row>
    <row r="565" customFormat="false" ht="15" hidden="false" customHeight="false" outlineLevel="0" collapsed="false">
      <c r="A565" s="110"/>
      <c r="B565" s="108"/>
      <c r="C565" s="142"/>
      <c r="D565" s="108"/>
      <c r="E565" s="183" t="str">
        <f aca="false" t="array" ref="E565:E565">IF(B565="","",IFERROR(INDEX(Keywords!$B$5:$B$165,MAX(ISNUMBER(SEARCH(Keywords!$A$5:$A$165,B565))*(Keywords!$A$5:$A$165&lt;&gt;"")*ROW(Keywords!$A$5:$A$165))-4),""))</f>
        <v/>
      </c>
      <c r="F565" s="150" t="str">
        <f aca="false">IF(B565="","",IF(L565="Transfer","Transfer",IF(L565="Income","Income",IF(D565&lt;&gt;"",D565,IF(E565&lt;&gt;"",E565,"Uncategorized")))))</f>
        <v/>
      </c>
      <c r="G565" s="108"/>
      <c r="H565" s="184" t="str">
        <f aca="false">IF(A565="","",DATE(YEAR(A565),MONTH(A565),1))</f>
        <v/>
      </c>
      <c r="I565" s="185"/>
      <c r="J565" s="144"/>
      <c r="K565" s="159" t="str">
        <f aca="false">IF(C565="","",N(C565)/IF(N565&lt;&gt;"",N565,IF(J565="",1,IFERROR(INDEX(Setup!$C$23:$C$46,MATCH(J565,Setup!$A$23:$A$46,0)),1))))</f>
        <v/>
      </c>
      <c r="L565" s="144"/>
      <c r="M565" s="108"/>
      <c r="N565" s="111"/>
      <c r="O565" s="156" t="str">
        <f aca="false">IF(OR(B565="",L565="Transfer"),"",IF(COUNTIFS($B$5:$B$604,B565,$H$5:$H$604,EDATE(H565,-1),$C$5:$C$604,"&gt;="&amp;C565*0.85,$C$5:$C$604,"&lt;="&amp;C565*1.15)&gt;0,"recurring",""))</f>
        <v/>
      </c>
      <c r="P565" s="157" t="str">
        <f aca="false">IF(B565="","",IF(COUNTIF(B565:$B$604,B565)=1,1,""))</f>
        <v/>
      </c>
      <c r="Q565" s="157" t="str">
        <f aca="false">IF(AND(O565="recurring",P565=1),COUNTIFS($O$5:O565,"recurring",$P$5:P565,1),"")</f>
        <v/>
      </c>
    </row>
    <row r="566" customFormat="false" ht="15" hidden="false" customHeight="false" outlineLevel="0" collapsed="false">
      <c r="A566" s="110"/>
      <c r="B566" s="108"/>
      <c r="C566" s="142"/>
      <c r="D566" s="108"/>
      <c r="E566" s="183" t="str">
        <f aca="false" t="array" ref="E566:E566">IF(B566="","",IFERROR(INDEX(Keywords!$B$5:$B$165,MAX(ISNUMBER(SEARCH(Keywords!$A$5:$A$165,B566))*(Keywords!$A$5:$A$165&lt;&gt;"")*ROW(Keywords!$A$5:$A$165))-4),""))</f>
        <v/>
      </c>
      <c r="F566" s="150" t="str">
        <f aca="false">IF(B566="","",IF(L566="Transfer","Transfer",IF(L566="Income","Income",IF(D566&lt;&gt;"",D566,IF(E566&lt;&gt;"",E566,"Uncategorized")))))</f>
        <v/>
      </c>
      <c r="G566" s="108"/>
      <c r="H566" s="184" t="str">
        <f aca="false">IF(A566="","",DATE(YEAR(A566),MONTH(A566),1))</f>
        <v/>
      </c>
      <c r="I566" s="185"/>
      <c r="J566" s="144"/>
      <c r="K566" s="159" t="str">
        <f aca="false">IF(C566="","",N(C566)/IF(N566&lt;&gt;"",N566,IF(J566="",1,IFERROR(INDEX(Setup!$C$23:$C$46,MATCH(J566,Setup!$A$23:$A$46,0)),1))))</f>
        <v/>
      </c>
      <c r="L566" s="144"/>
      <c r="M566" s="108"/>
      <c r="N566" s="111"/>
      <c r="O566" s="156" t="str">
        <f aca="false">IF(OR(B566="",L566="Transfer"),"",IF(COUNTIFS($B$5:$B$604,B566,$H$5:$H$604,EDATE(H566,-1),$C$5:$C$604,"&gt;="&amp;C566*0.85,$C$5:$C$604,"&lt;="&amp;C566*1.15)&gt;0,"recurring",""))</f>
        <v/>
      </c>
      <c r="P566" s="157" t="str">
        <f aca="false">IF(B566="","",IF(COUNTIF(B566:$B$604,B566)=1,1,""))</f>
        <v/>
      </c>
      <c r="Q566" s="157" t="str">
        <f aca="false">IF(AND(O566="recurring",P566=1),COUNTIFS($O$5:O566,"recurring",$P$5:P566,1),"")</f>
        <v/>
      </c>
    </row>
    <row r="567" customFormat="false" ht="15" hidden="false" customHeight="false" outlineLevel="0" collapsed="false">
      <c r="A567" s="110"/>
      <c r="B567" s="108"/>
      <c r="C567" s="142"/>
      <c r="D567" s="108"/>
      <c r="E567" s="183" t="str">
        <f aca="false" t="array" ref="E567:E567">IF(B567="","",IFERROR(INDEX(Keywords!$B$5:$B$165,MAX(ISNUMBER(SEARCH(Keywords!$A$5:$A$165,B567))*(Keywords!$A$5:$A$165&lt;&gt;"")*ROW(Keywords!$A$5:$A$165))-4),""))</f>
        <v/>
      </c>
      <c r="F567" s="150" t="str">
        <f aca="false">IF(B567="","",IF(L567="Transfer","Transfer",IF(L567="Income","Income",IF(D567&lt;&gt;"",D567,IF(E567&lt;&gt;"",E567,"Uncategorized")))))</f>
        <v/>
      </c>
      <c r="G567" s="108"/>
      <c r="H567" s="184" t="str">
        <f aca="false">IF(A567="","",DATE(YEAR(A567),MONTH(A567),1))</f>
        <v/>
      </c>
      <c r="I567" s="185"/>
      <c r="J567" s="144"/>
      <c r="K567" s="159" t="str">
        <f aca="false">IF(C567="","",N(C567)/IF(N567&lt;&gt;"",N567,IF(J567="",1,IFERROR(INDEX(Setup!$C$23:$C$46,MATCH(J567,Setup!$A$23:$A$46,0)),1))))</f>
        <v/>
      </c>
      <c r="L567" s="144"/>
      <c r="M567" s="108"/>
      <c r="N567" s="111"/>
      <c r="O567" s="156" t="str">
        <f aca="false">IF(OR(B567="",L567="Transfer"),"",IF(COUNTIFS($B$5:$B$604,B567,$H$5:$H$604,EDATE(H567,-1),$C$5:$C$604,"&gt;="&amp;C567*0.85,$C$5:$C$604,"&lt;="&amp;C567*1.15)&gt;0,"recurring",""))</f>
        <v/>
      </c>
      <c r="P567" s="157" t="str">
        <f aca="false">IF(B567="","",IF(COUNTIF(B567:$B$604,B567)=1,1,""))</f>
        <v/>
      </c>
      <c r="Q567" s="157" t="str">
        <f aca="false">IF(AND(O567="recurring",P567=1),COUNTIFS($O$5:O567,"recurring",$P$5:P567,1),"")</f>
        <v/>
      </c>
    </row>
    <row r="568" customFormat="false" ht="15" hidden="false" customHeight="false" outlineLevel="0" collapsed="false">
      <c r="A568" s="110"/>
      <c r="B568" s="108"/>
      <c r="C568" s="142"/>
      <c r="D568" s="108"/>
      <c r="E568" s="183" t="str">
        <f aca="false" t="array" ref="E568:E568">IF(B568="","",IFERROR(INDEX(Keywords!$B$5:$B$165,MAX(ISNUMBER(SEARCH(Keywords!$A$5:$A$165,B568))*(Keywords!$A$5:$A$165&lt;&gt;"")*ROW(Keywords!$A$5:$A$165))-4),""))</f>
        <v/>
      </c>
      <c r="F568" s="150" t="str">
        <f aca="false">IF(B568="","",IF(L568="Transfer","Transfer",IF(L568="Income","Income",IF(D568&lt;&gt;"",D568,IF(E568&lt;&gt;"",E568,"Uncategorized")))))</f>
        <v/>
      </c>
      <c r="G568" s="108"/>
      <c r="H568" s="184" t="str">
        <f aca="false">IF(A568="","",DATE(YEAR(A568),MONTH(A568),1))</f>
        <v/>
      </c>
      <c r="I568" s="185"/>
      <c r="J568" s="144"/>
      <c r="K568" s="159" t="str">
        <f aca="false">IF(C568="","",N(C568)/IF(N568&lt;&gt;"",N568,IF(J568="",1,IFERROR(INDEX(Setup!$C$23:$C$46,MATCH(J568,Setup!$A$23:$A$46,0)),1))))</f>
        <v/>
      </c>
      <c r="L568" s="144"/>
      <c r="M568" s="108"/>
      <c r="N568" s="111"/>
      <c r="O568" s="156" t="str">
        <f aca="false">IF(OR(B568="",L568="Transfer"),"",IF(COUNTIFS($B$5:$B$604,B568,$H$5:$H$604,EDATE(H568,-1),$C$5:$C$604,"&gt;="&amp;C568*0.85,$C$5:$C$604,"&lt;="&amp;C568*1.15)&gt;0,"recurring",""))</f>
        <v/>
      </c>
      <c r="P568" s="157" t="str">
        <f aca="false">IF(B568="","",IF(COUNTIF(B568:$B$604,B568)=1,1,""))</f>
        <v/>
      </c>
      <c r="Q568" s="157" t="str">
        <f aca="false">IF(AND(O568="recurring",P568=1),COUNTIFS($O$5:O568,"recurring",$P$5:P568,1),"")</f>
        <v/>
      </c>
    </row>
    <row r="569" customFormat="false" ht="15" hidden="false" customHeight="false" outlineLevel="0" collapsed="false">
      <c r="A569" s="110"/>
      <c r="B569" s="108"/>
      <c r="C569" s="142"/>
      <c r="D569" s="108"/>
      <c r="E569" s="183" t="str">
        <f aca="false" t="array" ref="E569:E569">IF(B569="","",IFERROR(INDEX(Keywords!$B$5:$B$165,MAX(ISNUMBER(SEARCH(Keywords!$A$5:$A$165,B569))*(Keywords!$A$5:$A$165&lt;&gt;"")*ROW(Keywords!$A$5:$A$165))-4),""))</f>
        <v/>
      </c>
      <c r="F569" s="150" t="str">
        <f aca="false">IF(B569="","",IF(L569="Transfer","Transfer",IF(L569="Income","Income",IF(D569&lt;&gt;"",D569,IF(E569&lt;&gt;"",E569,"Uncategorized")))))</f>
        <v/>
      </c>
      <c r="G569" s="108"/>
      <c r="H569" s="184" t="str">
        <f aca="false">IF(A569="","",DATE(YEAR(A569),MONTH(A569),1))</f>
        <v/>
      </c>
      <c r="I569" s="185"/>
      <c r="J569" s="144"/>
      <c r="K569" s="159" t="str">
        <f aca="false">IF(C569="","",N(C569)/IF(N569&lt;&gt;"",N569,IF(J569="",1,IFERROR(INDEX(Setup!$C$23:$C$46,MATCH(J569,Setup!$A$23:$A$46,0)),1))))</f>
        <v/>
      </c>
      <c r="L569" s="144"/>
      <c r="M569" s="108"/>
      <c r="N569" s="111"/>
      <c r="O569" s="156" t="str">
        <f aca="false">IF(OR(B569="",L569="Transfer"),"",IF(COUNTIFS($B$5:$B$604,B569,$H$5:$H$604,EDATE(H569,-1),$C$5:$C$604,"&gt;="&amp;C569*0.85,$C$5:$C$604,"&lt;="&amp;C569*1.15)&gt;0,"recurring",""))</f>
        <v/>
      </c>
      <c r="P569" s="157" t="str">
        <f aca="false">IF(B569="","",IF(COUNTIF(B569:$B$604,B569)=1,1,""))</f>
        <v/>
      </c>
      <c r="Q569" s="157" t="str">
        <f aca="false">IF(AND(O569="recurring",P569=1),COUNTIFS($O$5:O569,"recurring",$P$5:P569,1),"")</f>
        <v/>
      </c>
    </row>
    <row r="570" customFormat="false" ht="15" hidden="false" customHeight="false" outlineLevel="0" collapsed="false">
      <c r="A570" s="110"/>
      <c r="B570" s="108"/>
      <c r="C570" s="142"/>
      <c r="D570" s="108"/>
      <c r="E570" s="183" t="str">
        <f aca="false" t="array" ref="E570:E570">IF(B570="","",IFERROR(INDEX(Keywords!$B$5:$B$165,MAX(ISNUMBER(SEARCH(Keywords!$A$5:$A$165,B570))*(Keywords!$A$5:$A$165&lt;&gt;"")*ROW(Keywords!$A$5:$A$165))-4),""))</f>
        <v/>
      </c>
      <c r="F570" s="150" t="str">
        <f aca="false">IF(B570="","",IF(L570="Transfer","Transfer",IF(L570="Income","Income",IF(D570&lt;&gt;"",D570,IF(E570&lt;&gt;"",E570,"Uncategorized")))))</f>
        <v/>
      </c>
      <c r="G570" s="108"/>
      <c r="H570" s="184" t="str">
        <f aca="false">IF(A570="","",DATE(YEAR(A570),MONTH(A570),1))</f>
        <v/>
      </c>
      <c r="I570" s="185"/>
      <c r="J570" s="144"/>
      <c r="K570" s="159" t="str">
        <f aca="false">IF(C570="","",N(C570)/IF(N570&lt;&gt;"",N570,IF(J570="",1,IFERROR(INDEX(Setup!$C$23:$C$46,MATCH(J570,Setup!$A$23:$A$46,0)),1))))</f>
        <v/>
      </c>
      <c r="L570" s="144"/>
      <c r="M570" s="108"/>
      <c r="N570" s="111"/>
      <c r="O570" s="156" t="str">
        <f aca="false">IF(OR(B570="",L570="Transfer"),"",IF(COUNTIFS($B$5:$B$604,B570,$H$5:$H$604,EDATE(H570,-1),$C$5:$C$604,"&gt;="&amp;C570*0.85,$C$5:$C$604,"&lt;="&amp;C570*1.15)&gt;0,"recurring",""))</f>
        <v/>
      </c>
      <c r="P570" s="157" t="str">
        <f aca="false">IF(B570="","",IF(COUNTIF(B570:$B$604,B570)=1,1,""))</f>
        <v/>
      </c>
      <c r="Q570" s="157" t="str">
        <f aca="false">IF(AND(O570="recurring",P570=1),COUNTIFS($O$5:O570,"recurring",$P$5:P570,1),"")</f>
        <v/>
      </c>
    </row>
    <row r="571" customFormat="false" ht="15" hidden="false" customHeight="false" outlineLevel="0" collapsed="false">
      <c r="A571" s="110"/>
      <c r="B571" s="108"/>
      <c r="C571" s="142"/>
      <c r="D571" s="108"/>
      <c r="E571" s="183" t="str">
        <f aca="false" t="array" ref="E571:E571">IF(B571="","",IFERROR(INDEX(Keywords!$B$5:$B$165,MAX(ISNUMBER(SEARCH(Keywords!$A$5:$A$165,B571))*(Keywords!$A$5:$A$165&lt;&gt;"")*ROW(Keywords!$A$5:$A$165))-4),""))</f>
        <v/>
      </c>
      <c r="F571" s="150" t="str">
        <f aca="false">IF(B571="","",IF(L571="Transfer","Transfer",IF(L571="Income","Income",IF(D571&lt;&gt;"",D571,IF(E571&lt;&gt;"",E571,"Uncategorized")))))</f>
        <v/>
      </c>
      <c r="G571" s="108"/>
      <c r="H571" s="184" t="str">
        <f aca="false">IF(A571="","",DATE(YEAR(A571),MONTH(A571),1))</f>
        <v/>
      </c>
      <c r="I571" s="185"/>
      <c r="J571" s="144"/>
      <c r="K571" s="159" t="str">
        <f aca="false">IF(C571="","",N(C571)/IF(N571&lt;&gt;"",N571,IF(J571="",1,IFERROR(INDEX(Setup!$C$23:$C$46,MATCH(J571,Setup!$A$23:$A$46,0)),1))))</f>
        <v/>
      </c>
      <c r="L571" s="144"/>
      <c r="M571" s="108"/>
      <c r="N571" s="111"/>
      <c r="O571" s="156" t="str">
        <f aca="false">IF(OR(B571="",L571="Transfer"),"",IF(COUNTIFS($B$5:$B$604,B571,$H$5:$H$604,EDATE(H571,-1),$C$5:$C$604,"&gt;="&amp;C571*0.85,$C$5:$C$604,"&lt;="&amp;C571*1.15)&gt;0,"recurring",""))</f>
        <v/>
      </c>
      <c r="P571" s="157" t="str">
        <f aca="false">IF(B571="","",IF(COUNTIF(B571:$B$604,B571)=1,1,""))</f>
        <v/>
      </c>
      <c r="Q571" s="157" t="str">
        <f aca="false">IF(AND(O571="recurring",P571=1),COUNTIFS($O$5:O571,"recurring",$P$5:P571,1),"")</f>
        <v/>
      </c>
    </row>
    <row r="572" customFormat="false" ht="15" hidden="false" customHeight="false" outlineLevel="0" collapsed="false">
      <c r="A572" s="110"/>
      <c r="B572" s="108"/>
      <c r="C572" s="142"/>
      <c r="D572" s="108"/>
      <c r="E572" s="183" t="str">
        <f aca="false" t="array" ref="E572:E572">IF(B572="","",IFERROR(INDEX(Keywords!$B$5:$B$165,MAX(ISNUMBER(SEARCH(Keywords!$A$5:$A$165,B572))*(Keywords!$A$5:$A$165&lt;&gt;"")*ROW(Keywords!$A$5:$A$165))-4),""))</f>
        <v/>
      </c>
      <c r="F572" s="150" t="str">
        <f aca="false">IF(B572="","",IF(L572="Transfer","Transfer",IF(L572="Income","Income",IF(D572&lt;&gt;"",D572,IF(E572&lt;&gt;"",E572,"Uncategorized")))))</f>
        <v/>
      </c>
      <c r="G572" s="108"/>
      <c r="H572" s="184" t="str">
        <f aca="false">IF(A572="","",DATE(YEAR(A572),MONTH(A572),1))</f>
        <v/>
      </c>
      <c r="I572" s="185"/>
      <c r="J572" s="144"/>
      <c r="K572" s="159" t="str">
        <f aca="false">IF(C572="","",N(C572)/IF(N572&lt;&gt;"",N572,IF(J572="",1,IFERROR(INDEX(Setup!$C$23:$C$46,MATCH(J572,Setup!$A$23:$A$46,0)),1))))</f>
        <v/>
      </c>
      <c r="L572" s="144"/>
      <c r="M572" s="108"/>
      <c r="N572" s="111"/>
      <c r="O572" s="156" t="str">
        <f aca="false">IF(OR(B572="",L572="Transfer"),"",IF(COUNTIFS($B$5:$B$604,B572,$H$5:$H$604,EDATE(H572,-1),$C$5:$C$604,"&gt;="&amp;C572*0.85,$C$5:$C$604,"&lt;="&amp;C572*1.15)&gt;0,"recurring",""))</f>
        <v/>
      </c>
      <c r="P572" s="157" t="str">
        <f aca="false">IF(B572="","",IF(COUNTIF(B572:$B$604,B572)=1,1,""))</f>
        <v/>
      </c>
      <c r="Q572" s="157" t="str">
        <f aca="false">IF(AND(O572="recurring",P572=1),COUNTIFS($O$5:O572,"recurring",$P$5:P572,1),"")</f>
        <v/>
      </c>
    </row>
    <row r="573" customFormat="false" ht="15" hidden="false" customHeight="false" outlineLevel="0" collapsed="false">
      <c r="A573" s="110"/>
      <c r="B573" s="108"/>
      <c r="C573" s="142"/>
      <c r="D573" s="108"/>
      <c r="E573" s="183" t="str">
        <f aca="false" t="array" ref="E573:E573">IF(B573="","",IFERROR(INDEX(Keywords!$B$5:$B$165,MAX(ISNUMBER(SEARCH(Keywords!$A$5:$A$165,B573))*(Keywords!$A$5:$A$165&lt;&gt;"")*ROW(Keywords!$A$5:$A$165))-4),""))</f>
        <v/>
      </c>
      <c r="F573" s="150" t="str">
        <f aca="false">IF(B573="","",IF(L573="Transfer","Transfer",IF(L573="Income","Income",IF(D573&lt;&gt;"",D573,IF(E573&lt;&gt;"",E573,"Uncategorized")))))</f>
        <v/>
      </c>
      <c r="G573" s="108"/>
      <c r="H573" s="184" t="str">
        <f aca="false">IF(A573="","",DATE(YEAR(A573),MONTH(A573),1))</f>
        <v/>
      </c>
      <c r="I573" s="185"/>
      <c r="J573" s="144"/>
      <c r="K573" s="159" t="str">
        <f aca="false">IF(C573="","",N(C573)/IF(N573&lt;&gt;"",N573,IF(J573="",1,IFERROR(INDEX(Setup!$C$23:$C$46,MATCH(J573,Setup!$A$23:$A$46,0)),1))))</f>
        <v/>
      </c>
      <c r="L573" s="144"/>
      <c r="M573" s="108"/>
      <c r="N573" s="111"/>
      <c r="O573" s="156" t="str">
        <f aca="false">IF(OR(B573="",L573="Transfer"),"",IF(COUNTIFS($B$5:$B$604,B573,$H$5:$H$604,EDATE(H573,-1),$C$5:$C$604,"&gt;="&amp;C573*0.85,$C$5:$C$604,"&lt;="&amp;C573*1.15)&gt;0,"recurring",""))</f>
        <v/>
      </c>
      <c r="P573" s="157" t="str">
        <f aca="false">IF(B573="","",IF(COUNTIF(B573:$B$604,B573)=1,1,""))</f>
        <v/>
      </c>
      <c r="Q573" s="157" t="str">
        <f aca="false">IF(AND(O573="recurring",P573=1),COUNTIFS($O$5:O573,"recurring",$P$5:P573,1),"")</f>
        <v/>
      </c>
    </row>
    <row r="574" customFormat="false" ht="15" hidden="false" customHeight="false" outlineLevel="0" collapsed="false">
      <c r="A574" s="110"/>
      <c r="B574" s="108"/>
      <c r="C574" s="142"/>
      <c r="D574" s="108"/>
      <c r="E574" s="183" t="str">
        <f aca="false" t="array" ref="E574:E574">IF(B574="","",IFERROR(INDEX(Keywords!$B$5:$B$165,MAX(ISNUMBER(SEARCH(Keywords!$A$5:$A$165,B574))*(Keywords!$A$5:$A$165&lt;&gt;"")*ROW(Keywords!$A$5:$A$165))-4),""))</f>
        <v/>
      </c>
      <c r="F574" s="150" t="str">
        <f aca="false">IF(B574="","",IF(L574="Transfer","Transfer",IF(L574="Income","Income",IF(D574&lt;&gt;"",D574,IF(E574&lt;&gt;"",E574,"Uncategorized")))))</f>
        <v/>
      </c>
      <c r="G574" s="108"/>
      <c r="H574" s="184" t="str">
        <f aca="false">IF(A574="","",DATE(YEAR(A574),MONTH(A574),1))</f>
        <v/>
      </c>
      <c r="I574" s="185"/>
      <c r="J574" s="144"/>
      <c r="K574" s="159" t="str">
        <f aca="false">IF(C574="","",N(C574)/IF(N574&lt;&gt;"",N574,IF(J574="",1,IFERROR(INDEX(Setup!$C$23:$C$46,MATCH(J574,Setup!$A$23:$A$46,0)),1))))</f>
        <v/>
      </c>
      <c r="L574" s="144"/>
      <c r="M574" s="108"/>
      <c r="N574" s="111"/>
      <c r="O574" s="156" t="str">
        <f aca="false">IF(OR(B574="",L574="Transfer"),"",IF(COUNTIFS($B$5:$B$604,B574,$H$5:$H$604,EDATE(H574,-1),$C$5:$C$604,"&gt;="&amp;C574*0.85,$C$5:$C$604,"&lt;="&amp;C574*1.15)&gt;0,"recurring",""))</f>
        <v/>
      </c>
      <c r="P574" s="157" t="str">
        <f aca="false">IF(B574="","",IF(COUNTIF(B574:$B$604,B574)=1,1,""))</f>
        <v/>
      </c>
      <c r="Q574" s="157" t="str">
        <f aca="false">IF(AND(O574="recurring",P574=1),COUNTIFS($O$5:O574,"recurring",$P$5:P574,1),"")</f>
        <v/>
      </c>
    </row>
    <row r="575" customFormat="false" ht="15" hidden="false" customHeight="false" outlineLevel="0" collapsed="false">
      <c r="A575" s="110"/>
      <c r="B575" s="108"/>
      <c r="C575" s="142"/>
      <c r="D575" s="108"/>
      <c r="E575" s="183" t="str">
        <f aca="false" t="array" ref="E575:E575">IF(B575="","",IFERROR(INDEX(Keywords!$B$5:$B$165,MAX(ISNUMBER(SEARCH(Keywords!$A$5:$A$165,B575))*(Keywords!$A$5:$A$165&lt;&gt;"")*ROW(Keywords!$A$5:$A$165))-4),""))</f>
        <v/>
      </c>
      <c r="F575" s="150" t="str">
        <f aca="false">IF(B575="","",IF(L575="Transfer","Transfer",IF(L575="Income","Income",IF(D575&lt;&gt;"",D575,IF(E575&lt;&gt;"",E575,"Uncategorized")))))</f>
        <v/>
      </c>
      <c r="G575" s="108"/>
      <c r="H575" s="184" t="str">
        <f aca="false">IF(A575="","",DATE(YEAR(A575),MONTH(A575),1))</f>
        <v/>
      </c>
      <c r="I575" s="185"/>
      <c r="J575" s="144"/>
      <c r="K575" s="159" t="str">
        <f aca="false">IF(C575="","",N(C575)/IF(N575&lt;&gt;"",N575,IF(J575="",1,IFERROR(INDEX(Setup!$C$23:$C$46,MATCH(J575,Setup!$A$23:$A$46,0)),1))))</f>
        <v/>
      </c>
      <c r="L575" s="144"/>
      <c r="M575" s="108"/>
      <c r="N575" s="111"/>
      <c r="O575" s="156" t="str">
        <f aca="false">IF(OR(B575="",L575="Transfer"),"",IF(COUNTIFS($B$5:$B$604,B575,$H$5:$H$604,EDATE(H575,-1),$C$5:$C$604,"&gt;="&amp;C575*0.85,$C$5:$C$604,"&lt;="&amp;C575*1.15)&gt;0,"recurring",""))</f>
        <v/>
      </c>
      <c r="P575" s="157" t="str">
        <f aca="false">IF(B575="","",IF(COUNTIF(B575:$B$604,B575)=1,1,""))</f>
        <v/>
      </c>
      <c r="Q575" s="157" t="str">
        <f aca="false">IF(AND(O575="recurring",P575=1),COUNTIFS($O$5:O575,"recurring",$P$5:P575,1),"")</f>
        <v/>
      </c>
    </row>
    <row r="576" customFormat="false" ht="15" hidden="false" customHeight="false" outlineLevel="0" collapsed="false">
      <c r="A576" s="110"/>
      <c r="B576" s="108"/>
      <c r="C576" s="142"/>
      <c r="D576" s="108"/>
      <c r="E576" s="183" t="str">
        <f aca="false" t="array" ref="E576:E576">IF(B576="","",IFERROR(INDEX(Keywords!$B$5:$B$165,MAX(ISNUMBER(SEARCH(Keywords!$A$5:$A$165,B576))*(Keywords!$A$5:$A$165&lt;&gt;"")*ROW(Keywords!$A$5:$A$165))-4),""))</f>
        <v/>
      </c>
      <c r="F576" s="150" t="str">
        <f aca="false">IF(B576="","",IF(L576="Transfer","Transfer",IF(L576="Income","Income",IF(D576&lt;&gt;"",D576,IF(E576&lt;&gt;"",E576,"Uncategorized")))))</f>
        <v/>
      </c>
      <c r="G576" s="108"/>
      <c r="H576" s="184" t="str">
        <f aca="false">IF(A576="","",DATE(YEAR(A576),MONTH(A576),1))</f>
        <v/>
      </c>
      <c r="I576" s="185"/>
      <c r="J576" s="144"/>
      <c r="K576" s="159" t="str">
        <f aca="false">IF(C576="","",N(C576)/IF(N576&lt;&gt;"",N576,IF(J576="",1,IFERROR(INDEX(Setup!$C$23:$C$46,MATCH(J576,Setup!$A$23:$A$46,0)),1))))</f>
        <v/>
      </c>
      <c r="L576" s="144"/>
      <c r="M576" s="108"/>
      <c r="N576" s="111"/>
      <c r="O576" s="156" t="str">
        <f aca="false">IF(OR(B576="",L576="Transfer"),"",IF(COUNTIFS($B$5:$B$604,B576,$H$5:$H$604,EDATE(H576,-1),$C$5:$C$604,"&gt;="&amp;C576*0.85,$C$5:$C$604,"&lt;="&amp;C576*1.15)&gt;0,"recurring",""))</f>
        <v/>
      </c>
      <c r="P576" s="157" t="str">
        <f aca="false">IF(B576="","",IF(COUNTIF(B576:$B$604,B576)=1,1,""))</f>
        <v/>
      </c>
      <c r="Q576" s="157" t="str">
        <f aca="false">IF(AND(O576="recurring",P576=1),COUNTIFS($O$5:O576,"recurring",$P$5:P576,1),"")</f>
        <v/>
      </c>
    </row>
    <row r="577" customFormat="false" ht="15" hidden="false" customHeight="false" outlineLevel="0" collapsed="false">
      <c r="A577" s="110"/>
      <c r="B577" s="108"/>
      <c r="C577" s="142"/>
      <c r="D577" s="108"/>
      <c r="E577" s="183" t="str">
        <f aca="false" t="array" ref="E577:E577">IF(B577="","",IFERROR(INDEX(Keywords!$B$5:$B$165,MAX(ISNUMBER(SEARCH(Keywords!$A$5:$A$165,B577))*(Keywords!$A$5:$A$165&lt;&gt;"")*ROW(Keywords!$A$5:$A$165))-4),""))</f>
        <v/>
      </c>
      <c r="F577" s="150" t="str">
        <f aca="false">IF(B577="","",IF(L577="Transfer","Transfer",IF(L577="Income","Income",IF(D577&lt;&gt;"",D577,IF(E577&lt;&gt;"",E577,"Uncategorized")))))</f>
        <v/>
      </c>
      <c r="G577" s="108"/>
      <c r="H577" s="184" t="str">
        <f aca="false">IF(A577="","",DATE(YEAR(A577),MONTH(A577),1))</f>
        <v/>
      </c>
      <c r="I577" s="185"/>
      <c r="J577" s="144"/>
      <c r="K577" s="159" t="str">
        <f aca="false">IF(C577="","",N(C577)/IF(N577&lt;&gt;"",N577,IF(J577="",1,IFERROR(INDEX(Setup!$C$23:$C$46,MATCH(J577,Setup!$A$23:$A$46,0)),1))))</f>
        <v/>
      </c>
      <c r="L577" s="144"/>
      <c r="M577" s="108"/>
      <c r="N577" s="111"/>
      <c r="O577" s="156" t="str">
        <f aca="false">IF(OR(B577="",L577="Transfer"),"",IF(COUNTIFS($B$5:$B$604,B577,$H$5:$H$604,EDATE(H577,-1),$C$5:$C$604,"&gt;="&amp;C577*0.85,$C$5:$C$604,"&lt;="&amp;C577*1.15)&gt;0,"recurring",""))</f>
        <v/>
      </c>
      <c r="P577" s="157" t="str">
        <f aca="false">IF(B577="","",IF(COUNTIF(B577:$B$604,B577)=1,1,""))</f>
        <v/>
      </c>
      <c r="Q577" s="157" t="str">
        <f aca="false">IF(AND(O577="recurring",P577=1),COUNTIFS($O$5:O577,"recurring",$P$5:P577,1),"")</f>
        <v/>
      </c>
    </row>
    <row r="578" customFormat="false" ht="15" hidden="false" customHeight="false" outlineLevel="0" collapsed="false">
      <c r="A578" s="110"/>
      <c r="B578" s="108"/>
      <c r="C578" s="142"/>
      <c r="D578" s="108"/>
      <c r="E578" s="183" t="str">
        <f aca="false" t="array" ref="E578:E578">IF(B578="","",IFERROR(INDEX(Keywords!$B$5:$B$165,MAX(ISNUMBER(SEARCH(Keywords!$A$5:$A$165,B578))*(Keywords!$A$5:$A$165&lt;&gt;"")*ROW(Keywords!$A$5:$A$165))-4),""))</f>
        <v/>
      </c>
      <c r="F578" s="150" t="str">
        <f aca="false">IF(B578="","",IF(L578="Transfer","Transfer",IF(L578="Income","Income",IF(D578&lt;&gt;"",D578,IF(E578&lt;&gt;"",E578,"Uncategorized")))))</f>
        <v/>
      </c>
      <c r="G578" s="108"/>
      <c r="H578" s="184" t="str">
        <f aca="false">IF(A578="","",DATE(YEAR(A578),MONTH(A578),1))</f>
        <v/>
      </c>
      <c r="I578" s="185"/>
      <c r="J578" s="144"/>
      <c r="K578" s="159" t="str">
        <f aca="false">IF(C578="","",N(C578)/IF(N578&lt;&gt;"",N578,IF(J578="",1,IFERROR(INDEX(Setup!$C$23:$C$46,MATCH(J578,Setup!$A$23:$A$46,0)),1))))</f>
        <v/>
      </c>
      <c r="L578" s="144"/>
      <c r="M578" s="108"/>
      <c r="N578" s="111"/>
      <c r="O578" s="156" t="str">
        <f aca="false">IF(OR(B578="",L578="Transfer"),"",IF(COUNTIFS($B$5:$B$604,B578,$H$5:$H$604,EDATE(H578,-1),$C$5:$C$604,"&gt;="&amp;C578*0.85,$C$5:$C$604,"&lt;="&amp;C578*1.15)&gt;0,"recurring",""))</f>
        <v/>
      </c>
      <c r="P578" s="157" t="str">
        <f aca="false">IF(B578="","",IF(COUNTIF(B578:$B$604,B578)=1,1,""))</f>
        <v/>
      </c>
      <c r="Q578" s="157" t="str">
        <f aca="false">IF(AND(O578="recurring",P578=1),COUNTIFS($O$5:O578,"recurring",$P$5:P578,1),"")</f>
        <v/>
      </c>
    </row>
    <row r="579" customFormat="false" ht="15" hidden="false" customHeight="false" outlineLevel="0" collapsed="false">
      <c r="A579" s="110"/>
      <c r="B579" s="108"/>
      <c r="C579" s="142"/>
      <c r="D579" s="108"/>
      <c r="E579" s="183" t="str">
        <f aca="false" t="array" ref="E579:E579">IF(B579="","",IFERROR(INDEX(Keywords!$B$5:$B$165,MAX(ISNUMBER(SEARCH(Keywords!$A$5:$A$165,B579))*(Keywords!$A$5:$A$165&lt;&gt;"")*ROW(Keywords!$A$5:$A$165))-4),""))</f>
        <v/>
      </c>
      <c r="F579" s="150" t="str">
        <f aca="false">IF(B579="","",IF(L579="Transfer","Transfer",IF(L579="Income","Income",IF(D579&lt;&gt;"",D579,IF(E579&lt;&gt;"",E579,"Uncategorized")))))</f>
        <v/>
      </c>
      <c r="G579" s="108"/>
      <c r="H579" s="184" t="str">
        <f aca="false">IF(A579="","",DATE(YEAR(A579),MONTH(A579),1))</f>
        <v/>
      </c>
      <c r="I579" s="185"/>
      <c r="J579" s="144"/>
      <c r="K579" s="159" t="str">
        <f aca="false">IF(C579="","",N(C579)/IF(N579&lt;&gt;"",N579,IF(J579="",1,IFERROR(INDEX(Setup!$C$23:$C$46,MATCH(J579,Setup!$A$23:$A$46,0)),1))))</f>
        <v/>
      </c>
      <c r="L579" s="144"/>
      <c r="M579" s="108"/>
      <c r="N579" s="111"/>
      <c r="O579" s="156" t="str">
        <f aca="false">IF(OR(B579="",L579="Transfer"),"",IF(COUNTIFS($B$5:$B$604,B579,$H$5:$H$604,EDATE(H579,-1),$C$5:$C$604,"&gt;="&amp;C579*0.85,$C$5:$C$604,"&lt;="&amp;C579*1.15)&gt;0,"recurring",""))</f>
        <v/>
      </c>
      <c r="P579" s="157" t="str">
        <f aca="false">IF(B579="","",IF(COUNTIF(B579:$B$604,B579)=1,1,""))</f>
        <v/>
      </c>
      <c r="Q579" s="157" t="str">
        <f aca="false">IF(AND(O579="recurring",P579=1),COUNTIFS($O$5:O579,"recurring",$P$5:P579,1),"")</f>
        <v/>
      </c>
    </row>
    <row r="580" customFormat="false" ht="15" hidden="false" customHeight="false" outlineLevel="0" collapsed="false">
      <c r="A580" s="110"/>
      <c r="B580" s="108"/>
      <c r="C580" s="142"/>
      <c r="D580" s="108"/>
      <c r="E580" s="183" t="str">
        <f aca="false" t="array" ref="E580:E580">IF(B580="","",IFERROR(INDEX(Keywords!$B$5:$B$165,MAX(ISNUMBER(SEARCH(Keywords!$A$5:$A$165,B580))*(Keywords!$A$5:$A$165&lt;&gt;"")*ROW(Keywords!$A$5:$A$165))-4),""))</f>
        <v/>
      </c>
      <c r="F580" s="150" t="str">
        <f aca="false">IF(B580="","",IF(L580="Transfer","Transfer",IF(L580="Income","Income",IF(D580&lt;&gt;"",D580,IF(E580&lt;&gt;"",E580,"Uncategorized")))))</f>
        <v/>
      </c>
      <c r="G580" s="108"/>
      <c r="H580" s="184" t="str">
        <f aca="false">IF(A580="","",DATE(YEAR(A580),MONTH(A580),1))</f>
        <v/>
      </c>
      <c r="I580" s="185"/>
      <c r="J580" s="144"/>
      <c r="K580" s="159" t="str">
        <f aca="false">IF(C580="","",N(C580)/IF(N580&lt;&gt;"",N580,IF(J580="",1,IFERROR(INDEX(Setup!$C$23:$C$46,MATCH(J580,Setup!$A$23:$A$46,0)),1))))</f>
        <v/>
      </c>
      <c r="L580" s="144"/>
      <c r="M580" s="108"/>
      <c r="N580" s="111"/>
      <c r="O580" s="156" t="str">
        <f aca="false">IF(OR(B580="",L580="Transfer"),"",IF(COUNTIFS($B$5:$B$604,B580,$H$5:$H$604,EDATE(H580,-1),$C$5:$C$604,"&gt;="&amp;C580*0.85,$C$5:$C$604,"&lt;="&amp;C580*1.15)&gt;0,"recurring",""))</f>
        <v/>
      </c>
      <c r="P580" s="157" t="str">
        <f aca="false">IF(B580="","",IF(COUNTIF(B580:$B$604,B580)=1,1,""))</f>
        <v/>
      </c>
      <c r="Q580" s="157" t="str">
        <f aca="false">IF(AND(O580="recurring",P580=1),COUNTIFS($O$5:O580,"recurring",$P$5:P580,1),"")</f>
        <v/>
      </c>
    </row>
    <row r="581" customFormat="false" ht="15" hidden="false" customHeight="false" outlineLevel="0" collapsed="false">
      <c r="A581" s="110"/>
      <c r="B581" s="108"/>
      <c r="C581" s="142"/>
      <c r="D581" s="108"/>
      <c r="E581" s="183" t="str">
        <f aca="false" t="array" ref="E581:E581">IF(B581="","",IFERROR(INDEX(Keywords!$B$5:$B$165,MAX(ISNUMBER(SEARCH(Keywords!$A$5:$A$165,B581))*(Keywords!$A$5:$A$165&lt;&gt;"")*ROW(Keywords!$A$5:$A$165))-4),""))</f>
        <v/>
      </c>
      <c r="F581" s="150" t="str">
        <f aca="false">IF(B581="","",IF(L581="Transfer","Transfer",IF(L581="Income","Income",IF(D581&lt;&gt;"",D581,IF(E581&lt;&gt;"",E581,"Uncategorized")))))</f>
        <v/>
      </c>
      <c r="G581" s="108"/>
      <c r="H581" s="184" t="str">
        <f aca="false">IF(A581="","",DATE(YEAR(A581),MONTH(A581),1))</f>
        <v/>
      </c>
      <c r="I581" s="185"/>
      <c r="J581" s="144"/>
      <c r="K581" s="159" t="str">
        <f aca="false">IF(C581="","",N(C581)/IF(N581&lt;&gt;"",N581,IF(J581="",1,IFERROR(INDEX(Setup!$C$23:$C$46,MATCH(J581,Setup!$A$23:$A$46,0)),1))))</f>
        <v/>
      </c>
      <c r="L581" s="144"/>
      <c r="M581" s="108"/>
      <c r="N581" s="111"/>
      <c r="O581" s="156" t="str">
        <f aca="false">IF(OR(B581="",L581="Transfer"),"",IF(COUNTIFS($B$5:$B$604,B581,$H$5:$H$604,EDATE(H581,-1),$C$5:$C$604,"&gt;="&amp;C581*0.85,$C$5:$C$604,"&lt;="&amp;C581*1.15)&gt;0,"recurring",""))</f>
        <v/>
      </c>
      <c r="P581" s="157" t="str">
        <f aca="false">IF(B581="","",IF(COUNTIF(B581:$B$604,B581)=1,1,""))</f>
        <v/>
      </c>
      <c r="Q581" s="157" t="str">
        <f aca="false">IF(AND(O581="recurring",P581=1),COUNTIFS($O$5:O581,"recurring",$P$5:P581,1),"")</f>
        <v/>
      </c>
    </row>
    <row r="582" customFormat="false" ht="15" hidden="false" customHeight="false" outlineLevel="0" collapsed="false">
      <c r="A582" s="110"/>
      <c r="B582" s="108"/>
      <c r="C582" s="142"/>
      <c r="D582" s="108"/>
      <c r="E582" s="183" t="str">
        <f aca="false" t="array" ref="E582:E582">IF(B582="","",IFERROR(INDEX(Keywords!$B$5:$B$165,MAX(ISNUMBER(SEARCH(Keywords!$A$5:$A$165,B582))*(Keywords!$A$5:$A$165&lt;&gt;"")*ROW(Keywords!$A$5:$A$165))-4),""))</f>
        <v/>
      </c>
      <c r="F582" s="150" t="str">
        <f aca="false">IF(B582="","",IF(L582="Transfer","Transfer",IF(L582="Income","Income",IF(D582&lt;&gt;"",D582,IF(E582&lt;&gt;"",E582,"Uncategorized")))))</f>
        <v/>
      </c>
      <c r="G582" s="108"/>
      <c r="H582" s="184" t="str">
        <f aca="false">IF(A582="","",DATE(YEAR(A582),MONTH(A582),1))</f>
        <v/>
      </c>
      <c r="I582" s="185"/>
      <c r="J582" s="144"/>
      <c r="K582" s="159" t="str">
        <f aca="false">IF(C582="","",N(C582)/IF(N582&lt;&gt;"",N582,IF(J582="",1,IFERROR(INDEX(Setup!$C$23:$C$46,MATCH(J582,Setup!$A$23:$A$46,0)),1))))</f>
        <v/>
      </c>
      <c r="L582" s="144"/>
      <c r="M582" s="108"/>
      <c r="N582" s="111"/>
      <c r="O582" s="156" t="str">
        <f aca="false">IF(OR(B582="",L582="Transfer"),"",IF(COUNTIFS($B$5:$B$604,B582,$H$5:$H$604,EDATE(H582,-1),$C$5:$C$604,"&gt;="&amp;C582*0.85,$C$5:$C$604,"&lt;="&amp;C582*1.15)&gt;0,"recurring",""))</f>
        <v/>
      </c>
      <c r="P582" s="157" t="str">
        <f aca="false">IF(B582="","",IF(COUNTIF(B582:$B$604,B582)=1,1,""))</f>
        <v/>
      </c>
      <c r="Q582" s="157" t="str">
        <f aca="false">IF(AND(O582="recurring",P582=1),COUNTIFS($O$5:O582,"recurring",$P$5:P582,1),"")</f>
        <v/>
      </c>
    </row>
    <row r="583" customFormat="false" ht="15" hidden="false" customHeight="false" outlineLevel="0" collapsed="false">
      <c r="A583" s="110"/>
      <c r="B583" s="108"/>
      <c r="C583" s="142"/>
      <c r="D583" s="108"/>
      <c r="E583" s="183" t="str">
        <f aca="false" t="array" ref="E583:E583">IF(B583="","",IFERROR(INDEX(Keywords!$B$5:$B$165,MAX(ISNUMBER(SEARCH(Keywords!$A$5:$A$165,B583))*(Keywords!$A$5:$A$165&lt;&gt;"")*ROW(Keywords!$A$5:$A$165))-4),""))</f>
        <v/>
      </c>
      <c r="F583" s="150" t="str">
        <f aca="false">IF(B583="","",IF(L583="Transfer","Transfer",IF(L583="Income","Income",IF(D583&lt;&gt;"",D583,IF(E583&lt;&gt;"",E583,"Uncategorized")))))</f>
        <v/>
      </c>
      <c r="G583" s="108"/>
      <c r="H583" s="184" t="str">
        <f aca="false">IF(A583="","",DATE(YEAR(A583),MONTH(A583),1))</f>
        <v/>
      </c>
      <c r="I583" s="185"/>
      <c r="J583" s="144"/>
      <c r="K583" s="159" t="str">
        <f aca="false">IF(C583="","",N(C583)/IF(N583&lt;&gt;"",N583,IF(J583="",1,IFERROR(INDEX(Setup!$C$23:$C$46,MATCH(J583,Setup!$A$23:$A$46,0)),1))))</f>
        <v/>
      </c>
      <c r="L583" s="144"/>
      <c r="M583" s="108"/>
      <c r="N583" s="111"/>
      <c r="O583" s="156" t="str">
        <f aca="false">IF(OR(B583="",L583="Transfer"),"",IF(COUNTIFS($B$5:$B$604,B583,$H$5:$H$604,EDATE(H583,-1),$C$5:$C$604,"&gt;="&amp;C583*0.85,$C$5:$C$604,"&lt;="&amp;C583*1.15)&gt;0,"recurring",""))</f>
        <v/>
      </c>
      <c r="P583" s="157" t="str">
        <f aca="false">IF(B583="","",IF(COUNTIF(B583:$B$604,B583)=1,1,""))</f>
        <v/>
      </c>
      <c r="Q583" s="157" t="str">
        <f aca="false">IF(AND(O583="recurring",P583=1),COUNTIFS($O$5:O583,"recurring",$P$5:P583,1),"")</f>
        <v/>
      </c>
    </row>
    <row r="584" customFormat="false" ht="15" hidden="false" customHeight="false" outlineLevel="0" collapsed="false">
      <c r="A584" s="110"/>
      <c r="B584" s="108"/>
      <c r="C584" s="142"/>
      <c r="D584" s="108"/>
      <c r="E584" s="183" t="str">
        <f aca="false" t="array" ref="E584:E584">IF(B584="","",IFERROR(INDEX(Keywords!$B$5:$B$165,MAX(ISNUMBER(SEARCH(Keywords!$A$5:$A$165,B584))*(Keywords!$A$5:$A$165&lt;&gt;"")*ROW(Keywords!$A$5:$A$165))-4),""))</f>
        <v/>
      </c>
      <c r="F584" s="150" t="str">
        <f aca="false">IF(B584="","",IF(L584="Transfer","Transfer",IF(L584="Income","Income",IF(D584&lt;&gt;"",D584,IF(E584&lt;&gt;"",E584,"Uncategorized")))))</f>
        <v/>
      </c>
      <c r="G584" s="108"/>
      <c r="H584" s="184" t="str">
        <f aca="false">IF(A584="","",DATE(YEAR(A584),MONTH(A584),1))</f>
        <v/>
      </c>
      <c r="I584" s="185"/>
      <c r="J584" s="144"/>
      <c r="K584" s="159" t="str">
        <f aca="false">IF(C584="","",N(C584)/IF(N584&lt;&gt;"",N584,IF(J584="",1,IFERROR(INDEX(Setup!$C$23:$C$46,MATCH(J584,Setup!$A$23:$A$46,0)),1))))</f>
        <v/>
      </c>
      <c r="L584" s="144"/>
      <c r="M584" s="108"/>
      <c r="N584" s="111"/>
      <c r="O584" s="156" t="str">
        <f aca="false">IF(OR(B584="",L584="Transfer"),"",IF(COUNTIFS($B$5:$B$604,B584,$H$5:$H$604,EDATE(H584,-1),$C$5:$C$604,"&gt;="&amp;C584*0.85,$C$5:$C$604,"&lt;="&amp;C584*1.15)&gt;0,"recurring",""))</f>
        <v/>
      </c>
      <c r="P584" s="157" t="str">
        <f aca="false">IF(B584="","",IF(COUNTIF(B584:$B$604,B584)=1,1,""))</f>
        <v/>
      </c>
      <c r="Q584" s="157" t="str">
        <f aca="false">IF(AND(O584="recurring",P584=1),COUNTIFS($O$5:O584,"recurring",$P$5:P584,1),"")</f>
        <v/>
      </c>
    </row>
    <row r="585" customFormat="false" ht="15" hidden="false" customHeight="false" outlineLevel="0" collapsed="false">
      <c r="A585" s="110"/>
      <c r="B585" s="108"/>
      <c r="C585" s="142"/>
      <c r="D585" s="108"/>
      <c r="E585" s="183" t="str">
        <f aca="false" t="array" ref="E585:E585">IF(B585="","",IFERROR(INDEX(Keywords!$B$5:$B$165,MAX(ISNUMBER(SEARCH(Keywords!$A$5:$A$165,B585))*(Keywords!$A$5:$A$165&lt;&gt;"")*ROW(Keywords!$A$5:$A$165))-4),""))</f>
        <v/>
      </c>
      <c r="F585" s="150" t="str">
        <f aca="false">IF(B585="","",IF(L585="Transfer","Transfer",IF(L585="Income","Income",IF(D585&lt;&gt;"",D585,IF(E585&lt;&gt;"",E585,"Uncategorized")))))</f>
        <v/>
      </c>
      <c r="G585" s="108"/>
      <c r="H585" s="184" t="str">
        <f aca="false">IF(A585="","",DATE(YEAR(A585),MONTH(A585),1))</f>
        <v/>
      </c>
      <c r="I585" s="185"/>
      <c r="J585" s="144"/>
      <c r="K585" s="159" t="str">
        <f aca="false">IF(C585="","",N(C585)/IF(N585&lt;&gt;"",N585,IF(J585="",1,IFERROR(INDEX(Setup!$C$23:$C$46,MATCH(J585,Setup!$A$23:$A$46,0)),1))))</f>
        <v/>
      </c>
      <c r="L585" s="144"/>
      <c r="M585" s="108"/>
      <c r="N585" s="111"/>
      <c r="O585" s="156" t="str">
        <f aca="false">IF(OR(B585="",L585="Transfer"),"",IF(COUNTIFS($B$5:$B$604,B585,$H$5:$H$604,EDATE(H585,-1),$C$5:$C$604,"&gt;="&amp;C585*0.85,$C$5:$C$604,"&lt;="&amp;C585*1.15)&gt;0,"recurring",""))</f>
        <v/>
      </c>
      <c r="P585" s="157" t="str">
        <f aca="false">IF(B585="","",IF(COUNTIF(B585:$B$604,B585)=1,1,""))</f>
        <v/>
      </c>
      <c r="Q585" s="157" t="str">
        <f aca="false">IF(AND(O585="recurring",P585=1),COUNTIFS($O$5:O585,"recurring",$P$5:P585,1),"")</f>
        <v/>
      </c>
    </row>
    <row r="586" customFormat="false" ht="15" hidden="false" customHeight="false" outlineLevel="0" collapsed="false">
      <c r="A586" s="110"/>
      <c r="B586" s="108"/>
      <c r="C586" s="142"/>
      <c r="D586" s="108"/>
      <c r="E586" s="183" t="str">
        <f aca="false" t="array" ref="E586:E586">IF(B586="","",IFERROR(INDEX(Keywords!$B$5:$B$165,MAX(ISNUMBER(SEARCH(Keywords!$A$5:$A$165,B586))*(Keywords!$A$5:$A$165&lt;&gt;"")*ROW(Keywords!$A$5:$A$165))-4),""))</f>
        <v/>
      </c>
      <c r="F586" s="150" t="str">
        <f aca="false">IF(B586="","",IF(L586="Transfer","Transfer",IF(L586="Income","Income",IF(D586&lt;&gt;"",D586,IF(E586&lt;&gt;"",E586,"Uncategorized")))))</f>
        <v/>
      </c>
      <c r="G586" s="108"/>
      <c r="H586" s="184" t="str">
        <f aca="false">IF(A586="","",DATE(YEAR(A586),MONTH(A586),1))</f>
        <v/>
      </c>
      <c r="I586" s="185"/>
      <c r="J586" s="144"/>
      <c r="K586" s="159" t="str">
        <f aca="false">IF(C586="","",N(C586)/IF(N586&lt;&gt;"",N586,IF(J586="",1,IFERROR(INDEX(Setup!$C$23:$C$46,MATCH(J586,Setup!$A$23:$A$46,0)),1))))</f>
        <v/>
      </c>
      <c r="L586" s="144"/>
      <c r="M586" s="108"/>
      <c r="N586" s="111"/>
      <c r="O586" s="156" t="str">
        <f aca="false">IF(OR(B586="",L586="Transfer"),"",IF(COUNTIFS($B$5:$B$604,B586,$H$5:$H$604,EDATE(H586,-1),$C$5:$C$604,"&gt;="&amp;C586*0.85,$C$5:$C$604,"&lt;="&amp;C586*1.15)&gt;0,"recurring",""))</f>
        <v/>
      </c>
      <c r="P586" s="157" t="str">
        <f aca="false">IF(B586="","",IF(COUNTIF(B586:$B$604,B586)=1,1,""))</f>
        <v/>
      </c>
      <c r="Q586" s="157" t="str">
        <f aca="false">IF(AND(O586="recurring",P586=1),COUNTIFS($O$5:O586,"recurring",$P$5:P586,1),"")</f>
        <v/>
      </c>
    </row>
    <row r="587" customFormat="false" ht="15" hidden="false" customHeight="false" outlineLevel="0" collapsed="false">
      <c r="A587" s="110"/>
      <c r="B587" s="108"/>
      <c r="C587" s="142"/>
      <c r="D587" s="108"/>
      <c r="E587" s="183" t="str">
        <f aca="false" t="array" ref="E587:E587">IF(B587="","",IFERROR(INDEX(Keywords!$B$5:$B$165,MAX(ISNUMBER(SEARCH(Keywords!$A$5:$A$165,B587))*(Keywords!$A$5:$A$165&lt;&gt;"")*ROW(Keywords!$A$5:$A$165))-4),""))</f>
        <v/>
      </c>
      <c r="F587" s="150" t="str">
        <f aca="false">IF(B587="","",IF(L587="Transfer","Transfer",IF(L587="Income","Income",IF(D587&lt;&gt;"",D587,IF(E587&lt;&gt;"",E587,"Uncategorized")))))</f>
        <v/>
      </c>
      <c r="G587" s="108"/>
      <c r="H587" s="184" t="str">
        <f aca="false">IF(A587="","",DATE(YEAR(A587),MONTH(A587),1))</f>
        <v/>
      </c>
      <c r="I587" s="185"/>
      <c r="J587" s="144"/>
      <c r="K587" s="159" t="str">
        <f aca="false">IF(C587="","",N(C587)/IF(N587&lt;&gt;"",N587,IF(J587="",1,IFERROR(INDEX(Setup!$C$23:$C$46,MATCH(J587,Setup!$A$23:$A$46,0)),1))))</f>
        <v/>
      </c>
      <c r="L587" s="144"/>
      <c r="M587" s="108"/>
      <c r="N587" s="111"/>
      <c r="O587" s="156" t="str">
        <f aca="false">IF(OR(B587="",L587="Transfer"),"",IF(COUNTIFS($B$5:$B$604,B587,$H$5:$H$604,EDATE(H587,-1),$C$5:$C$604,"&gt;="&amp;C587*0.85,$C$5:$C$604,"&lt;="&amp;C587*1.15)&gt;0,"recurring",""))</f>
        <v/>
      </c>
      <c r="P587" s="157" t="str">
        <f aca="false">IF(B587="","",IF(COUNTIF(B587:$B$604,B587)=1,1,""))</f>
        <v/>
      </c>
      <c r="Q587" s="157" t="str">
        <f aca="false">IF(AND(O587="recurring",P587=1),COUNTIFS($O$5:O587,"recurring",$P$5:P587,1),"")</f>
        <v/>
      </c>
    </row>
    <row r="588" customFormat="false" ht="15" hidden="false" customHeight="false" outlineLevel="0" collapsed="false">
      <c r="A588" s="110"/>
      <c r="B588" s="108"/>
      <c r="C588" s="142"/>
      <c r="D588" s="108"/>
      <c r="E588" s="183" t="str">
        <f aca="false" t="array" ref="E588:E588">IF(B588="","",IFERROR(INDEX(Keywords!$B$5:$B$165,MAX(ISNUMBER(SEARCH(Keywords!$A$5:$A$165,B588))*(Keywords!$A$5:$A$165&lt;&gt;"")*ROW(Keywords!$A$5:$A$165))-4),""))</f>
        <v/>
      </c>
      <c r="F588" s="150" t="str">
        <f aca="false">IF(B588="","",IF(L588="Transfer","Transfer",IF(L588="Income","Income",IF(D588&lt;&gt;"",D588,IF(E588&lt;&gt;"",E588,"Uncategorized")))))</f>
        <v/>
      </c>
      <c r="G588" s="108"/>
      <c r="H588" s="184" t="str">
        <f aca="false">IF(A588="","",DATE(YEAR(A588),MONTH(A588),1))</f>
        <v/>
      </c>
      <c r="I588" s="185"/>
      <c r="J588" s="144"/>
      <c r="K588" s="159" t="str">
        <f aca="false">IF(C588="","",N(C588)/IF(N588&lt;&gt;"",N588,IF(J588="",1,IFERROR(INDEX(Setup!$C$23:$C$46,MATCH(J588,Setup!$A$23:$A$46,0)),1))))</f>
        <v/>
      </c>
      <c r="L588" s="144"/>
      <c r="M588" s="108"/>
      <c r="N588" s="111"/>
      <c r="O588" s="156" t="str">
        <f aca="false">IF(OR(B588="",L588="Transfer"),"",IF(COUNTIFS($B$5:$B$604,B588,$H$5:$H$604,EDATE(H588,-1),$C$5:$C$604,"&gt;="&amp;C588*0.85,$C$5:$C$604,"&lt;="&amp;C588*1.15)&gt;0,"recurring",""))</f>
        <v/>
      </c>
      <c r="P588" s="157" t="str">
        <f aca="false">IF(B588="","",IF(COUNTIF(B588:$B$604,B588)=1,1,""))</f>
        <v/>
      </c>
      <c r="Q588" s="157" t="str">
        <f aca="false">IF(AND(O588="recurring",P588=1),COUNTIFS($O$5:O588,"recurring",$P$5:P588,1),"")</f>
        <v/>
      </c>
    </row>
    <row r="589" customFormat="false" ht="15" hidden="false" customHeight="false" outlineLevel="0" collapsed="false">
      <c r="A589" s="110"/>
      <c r="B589" s="108"/>
      <c r="C589" s="142"/>
      <c r="D589" s="108"/>
      <c r="E589" s="183" t="str">
        <f aca="false" t="array" ref="E589:E589">IF(B589="","",IFERROR(INDEX(Keywords!$B$5:$B$165,MAX(ISNUMBER(SEARCH(Keywords!$A$5:$A$165,B589))*(Keywords!$A$5:$A$165&lt;&gt;"")*ROW(Keywords!$A$5:$A$165))-4),""))</f>
        <v/>
      </c>
      <c r="F589" s="150" t="str">
        <f aca="false">IF(B589="","",IF(L589="Transfer","Transfer",IF(L589="Income","Income",IF(D589&lt;&gt;"",D589,IF(E589&lt;&gt;"",E589,"Uncategorized")))))</f>
        <v/>
      </c>
      <c r="G589" s="108"/>
      <c r="H589" s="184" t="str">
        <f aca="false">IF(A589="","",DATE(YEAR(A589),MONTH(A589),1))</f>
        <v/>
      </c>
      <c r="I589" s="185"/>
      <c r="J589" s="144"/>
      <c r="K589" s="159" t="str">
        <f aca="false">IF(C589="","",N(C589)/IF(N589&lt;&gt;"",N589,IF(J589="",1,IFERROR(INDEX(Setup!$C$23:$C$46,MATCH(J589,Setup!$A$23:$A$46,0)),1))))</f>
        <v/>
      </c>
      <c r="L589" s="144"/>
      <c r="M589" s="108"/>
      <c r="N589" s="111"/>
      <c r="O589" s="156" t="str">
        <f aca="false">IF(OR(B589="",L589="Transfer"),"",IF(COUNTIFS($B$5:$B$604,B589,$H$5:$H$604,EDATE(H589,-1),$C$5:$C$604,"&gt;="&amp;C589*0.85,$C$5:$C$604,"&lt;="&amp;C589*1.15)&gt;0,"recurring",""))</f>
        <v/>
      </c>
      <c r="P589" s="157" t="str">
        <f aca="false">IF(B589="","",IF(COUNTIF(B589:$B$604,B589)=1,1,""))</f>
        <v/>
      </c>
      <c r="Q589" s="157" t="str">
        <f aca="false">IF(AND(O589="recurring",P589=1),COUNTIFS($O$5:O589,"recurring",$P$5:P589,1),"")</f>
        <v/>
      </c>
    </row>
    <row r="590" customFormat="false" ht="15" hidden="false" customHeight="false" outlineLevel="0" collapsed="false">
      <c r="A590" s="110"/>
      <c r="B590" s="108"/>
      <c r="C590" s="142"/>
      <c r="D590" s="108"/>
      <c r="E590" s="183" t="str">
        <f aca="false" t="array" ref="E590:E590">IF(B590="","",IFERROR(INDEX(Keywords!$B$5:$B$165,MAX(ISNUMBER(SEARCH(Keywords!$A$5:$A$165,B590))*(Keywords!$A$5:$A$165&lt;&gt;"")*ROW(Keywords!$A$5:$A$165))-4),""))</f>
        <v/>
      </c>
      <c r="F590" s="150" t="str">
        <f aca="false">IF(B590="","",IF(L590="Transfer","Transfer",IF(L590="Income","Income",IF(D590&lt;&gt;"",D590,IF(E590&lt;&gt;"",E590,"Uncategorized")))))</f>
        <v/>
      </c>
      <c r="G590" s="108"/>
      <c r="H590" s="184" t="str">
        <f aca="false">IF(A590="","",DATE(YEAR(A590),MONTH(A590),1))</f>
        <v/>
      </c>
      <c r="I590" s="185"/>
      <c r="J590" s="144"/>
      <c r="K590" s="159" t="str">
        <f aca="false">IF(C590="","",N(C590)/IF(N590&lt;&gt;"",N590,IF(J590="",1,IFERROR(INDEX(Setup!$C$23:$C$46,MATCH(J590,Setup!$A$23:$A$46,0)),1))))</f>
        <v/>
      </c>
      <c r="L590" s="144"/>
      <c r="M590" s="108"/>
      <c r="N590" s="111"/>
      <c r="O590" s="156" t="str">
        <f aca="false">IF(OR(B590="",L590="Transfer"),"",IF(COUNTIFS($B$5:$B$604,B590,$H$5:$H$604,EDATE(H590,-1),$C$5:$C$604,"&gt;="&amp;C590*0.85,$C$5:$C$604,"&lt;="&amp;C590*1.15)&gt;0,"recurring",""))</f>
        <v/>
      </c>
      <c r="P590" s="157" t="str">
        <f aca="false">IF(B590="","",IF(COUNTIF(B590:$B$604,B590)=1,1,""))</f>
        <v/>
      </c>
      <c r="Q590" s="157" t="str">
        <f aca="false">IF(AND(O590="recurring",P590=1),COUNTIFS($O$5:O590,"recurring",$P$5:P590,1),"")</f>
        <v/>
      </c>
    </row>
    <row r="591" customFormat="false" ht="15" hidden="false" customHeight="false" outlineLevel="0" collapsed="false">
      <c r="A591" s="110"/>
      <c r="B591" s="108"/>
      <c r="C591" s="142"/>
      <c r="D591" s="108"/>
      <c r="E591" s="183" t="str">
        <f aca="false" t="array" ref="E591:E591">IF(B591="","",IFERROR(INDEX(Keywords!$B$5:$B$165,MAX(ISNUMBER(SEARCH(Keywords!$A$5:$A$165,B591))*(Keywords!$A$5:$A$165&lt;&gt;"")*ROW(Keywords!$A$5:$A$165))-4),""))</f>
        <v/>
      </c>
      <c r="F591" s="150" t="str">
        <f aca="false">IF(B591="","",IF(L591="Transfer","Transfer",IF(L591="Income","Income",IF(D591&lt;&gt;"",D591,IF(E591&lt;&gt;"",E591,"Uncategorized")))))</f>
        <v/>
      </c>
      <c r="G591" s="108"/>
      <c r="H591" s="184" t="str">
        <f aca="false">IF(A591="","",DATE(YEAR(A591),MONTH(A591),1))</f>
        <v/>
      </c>
      <c r="I591" s="185"/>
      <c r="J591" s="144"/>
      <c r="K591" s="159" t="str">
        <f aca="false">IF(C591="","",N(C591)/IF(N591&lt;&gt;"",N591,IF(J591="",1,IFERROR(INDEX(Setup!$C$23:$C$46,MATCH(J591,Setup!$A$23:$A$46,0)),1))))</f>
        <v/>
      </c>
      <c r="L591" s="144"/>
      <c r="M591" s="108"/>
      <c r="N591" s="111"/>
      <c r="O591" s="156" t="str">
        <f aca="false">IF(OR(B591="",L591="Transfer"),"",IF(COUNTIFS($B$5:$B$604,B591,$H$5:$H$604,EDATE(H591,-1),$C$5:$C$604,"&gt;="&amp;C591*0.85,$C$5:$C$604,"&lt;="&amp;C591*1.15)&gt;0,"recurring",""))</f>
        <v/>
      </c>
      <c r="P591" s="157" t="str">
        <f aca="false">IF(B591="","",IF(COUNTIF(B591:$B$604,B591)=1,1,""))</f>
        <v/>
      </c>
      <c r="Q591" s="157" t="str">
        <f aca="false">IF(AND(O591="recurring",P591=1),COUNTIFS($O$5:O591,"recurring",$P$5:P591,1),"")</f>
        <v/>
      </c>
    </row>
    <row r="592" customFormat="false" ht="15" hidden="false" customHeight="false" outlineLevel="0" collapsed="false">
      <c r="A592" s="110"/>
      <c r="B592" s="108"/>
      <c r="C592" s="142"/>
      <c r="D592" s="108"/>
      <c r="E592" s="183" t="str">
        <f aca="false" t="array" ref="E592:E592">IF(B592="","",IFERROR(INDEX(Keywords!$B$5:$B$165,MAX(ISNUMBER(SEARCH(Keywords!$A$5:$A$165,B592))*(Keywords!$A$5:$A$165&lt;&gt;"")*ROW(Keywords!$A$5:$A$165))-4),""))</f>
        <v/>
      </c>
      <c r="F592" s="150" t="str">
        <f aca="false">IF(B592="","",IF(L592="Transfer","Transfer",IF(L592="Income","Income",IF(D592&lt;&gt;"",D592,IF(E592&lt;&gt;"",E592,"Uncategorized")))))</f>
        <v/>
      </c>
      <c r="G592" s="108"/>
      <c r="H592" s="184" t="str">
        <f aca="false">IF(A592="","",DATE(YEAR(A592),MONTH(A592),1))</f>
        <v/>
      </c>
      <c r="I592" s="185"/>
      <c r="J592" s="144"/>
      <c r="K592" s="159" t="str">
        <f aca="false">IF(C592="","",N(C592)/IF(N592&lt;&gt;"",N592,IF(J592="",1,IFERROR(INDEX(Setup!$C$23:$C$46,MATCH(J592,Setup!$A$23:$A$46,0)),1))))</f>
        <v/>
      </c>
      <c r="L592" s="144"/>
      <c r="M592" s="108"/>
      <c r="N592" s="111"/>
      <c r="O592" s="156" t="str">
        <f aca="false">IF(OR(B592="",L592="Transfer"),"",IF(COUNTIFS($B$5:$B$604,B592,$H$5:$H$604,EDATE(H592,-1),$C$5:$C$604,"&gt;="&amp;C592*0.85,$C$5:$C$604,"&lt;="&amp;C592*1.15)&gt;0,"recurring",""))</f>
        <v/>
      </c>
      <c r="P592" s="157" t="str">
        <f aca="false">IF(B592="","",IF(COUNTIF(B592:$B$604,B592)=1,1,""))</f>
        <v/>
      </c>
      <c r="Q592" s="157" t="str">
        <f aca="false">IF(AND(O592="recurring",P592=1),COUNTIFS($O$5:O592,"recurring",$P$5:P592,1),"")</f>
        <v/>
      </c>
    </row>
    <row r="593" customFormat="false" ht="15" hidden="false" customHeight="false" outlineLevel="0" collapsed="false">
      <c r="A593" s="110"/>
      <c r="B593" s="108"/>
      <c r="C593" s="142"/>
      <c r="D593" s="108"/>
      <c r="E593" s="183" t="str">
        <f aca="false" t="array" ref="E593:E593">IF(B593="","",IFERROR(INDEX(Keywords!$B$5:$B$165,MAX(ISNUMBER(SEARCH(Keywords!$A$5:$A$165,B593))*(Keywords!$A$5:$A$165&lt;&gt;"")*ROW(Keywords!$A$5:$A$165))-4),""))</f>
        <v/>
      </c>
      <c r="F593" s="150" t="str">
        <f aca="false">IF(B593="","",IF(L593="Transfer","Transfer",IF(L593="Income","Income",IF(D593&lt;&gt;"",D593,IF(E593&lt;&gt;"",E593,"Uncategorized")))))</f>
        <v/>
      </c>
      <c r="G593" s="108"/>
      <c r="H593" s="184" t="str">
        <f aca="false">IF(A593="","",DATE(YEAR(A593),MONTH(A593),1))</f>
        <v/>
      </c>
      <c r="I593" s="185"/>
      <c r="J593" s="144"/>
      <c r="K593" s="159" t="str">
        <f aca="false">IF(C593="","",N(C593)/IF(N593&lt;&gt;"",N593,IF(J593="",1,IFERROR(INDEX(Setup!$C$23:$C$46,MATCH(J593,Setup!$A$23:$A$46,0)),1))))</f>
        <v/>
      </c>
      <c r="L593" s="144"/>
      <c r="M593" s="108"/>
      <c r="N593" s="111"/>
      <c r="O593" s="156" t="str">
        <f aca="false">IF(OR(B593="",L593="Transfer"),"",IF(COUNTIFS($B$5:$B$604,B593,$H$5:$H$604,EDATE(H593,-1),$C$5:$C$604,"&gt;="&amp;C593*0.85,$C$5:$C$604,"&lt;="&amp;C593*1.15)&gt;0,"recurring",""))</f>
        <v/>
      </c>
      <c r="P593" s="157" t="str">
        <f aca="false">IF(B593="","",IF(COUNTIF(B593:$B$604,B593)=1,1,""))</f>
        <v/>
      </c>
      <c r="Q593" s="157" t="str">
        <f aca="false">IF(AND(O593="recurring",P593=1),COUNTIFS($O$5:O593,"recurring",$P$5:P593,1),"")</f>
        <v/>
      </c>
    </row>
    <row r="594" customFormat="false" ht="15" hidden="false" customHeight="false" outlineLevel="0" collapsed="false">
      <c r="A594" s="110"/>
      <c r="B594" s="108"/>
      <c r="C594" s="142"/>
      <c r="D594" s="108"/>
      <c r="E594" s="183" t="str">
        <f aca="false" t="array" ref="E594:E594">IF(B594="","",IFERROR(INDEX(Keywords!$B$5:$B$165,MAX(ISNUMBER(SEARCH(Keywords!$A$5:$A$165,B594))*(Keywords!$A$5:$A$165&lt;&gt;"")*ROW(Keywords!$A$5:$A$165))-4),""))</f>
        <v/>
      </c>
      <c r="F594" s="150" t="str">
        <f aca="false">IF(B594="","",IF(L594="Transfer","Transfer",IF(L594="Income","Income",IF(D594&lt;&gt;"",D594,IF(E594&lt;&gt;"",E594,"Uncategorized")))))</f>
        <v/>
      </c>
      <c r="G594" s="108"/>
      <c r="H594" s="184" t="str">
        <f aca="false">IF(A594="","",DATE(YEAR(A594),MONTH(A594),1))</f>
        <v/>
      </c>
      <c r="I594" s="185"/>
      <c r="J594" s="144"/>
      <c r="K594" s="159" t="str">
        <f aca="false">IF(C594="","",N(C594)/IF(N594&lt;&gt;"",N594,IF(J594="",1,IFERROR(INDEX(Setup!$C$23:$C$46,MATCH(J594,Setup!$A$23:$A$46,0)),1))))</f>
        <v/>
      </c>
      <c r="L594" s="144"/>
      <c r="M594" s="108"/>
      <c r="N594" s="111"/>
      <c r="O594" s="156" t="str">
        <f aca="false">IF(OR(B594="",L594="Transfer"),"",IF(COUNTIFS($B$5:$B$604,B594,$H$5:$H$604,EDATE(H594,-1),$C$5:$C$604,"&gt;="&amp;C594*0.85,$C$5:$C$604,"&lt;="&amp;C594*1.15)&gt;0,"recurring",""))</f>
        <v/>
      </c>
      <c r="P594" s="157" t="str">
        <f aca="false">IF(B594="","",IF(COUNTIF(B594:$B$604,B594)=1,1,""))</f>
        <v/>
      </c>
      <c r="Q594" s="157" t="str">
        <f aca="false">IF(AND(O594="recurring",P594=1),COUNTIFS($O$5:O594,"recurring",$P$5:P594,1),"")</f>
        <v/>
      </c>
    </row>
    <row r="595" customFormat="false" ht="15" hidden="false" customHeight="false" outlineLevel="0" collapsed="false">
      <c r="A595" s="110"/>
      <c r="B595" s="108"/>
      <c r="C595" s="142"/>
      <c r="D595" s="108"/>
      <c r="E595" s="183" t="str">
        <f aca="false" t="array" ref="E595:E595">IF(B595="","",IFERROR(INDEX(Keywords!$B$5:$B$165,MAX(ISNUMBER(SEARCH(Keywords!$A$5:$A$165,B595))*(Keywords!$A$5:$A$165&lt;&gt;"")*ROW(Keywords!$A$5:$A$165))-4),""))</f>
        <v/>
      </c>
      <c r="F595" s="150" t="str">
        <f aca="false">IF(B595="","",IF(L595="Transfer","Transfer",IF(L595="Income","Income",IF(D595&lt;&gt;"",D595,IF(E595&lt;&gt;"",E595,"Uncategorized")))))</f>
        <v/>
      </c>
      <c r="G595" s="108"/>
      <c r="H595" s="184" t="str">
        <f aca="false">IF(A595="","",DATE(YEAR(A595),MONTH(A595),1))</f>
        <v/>
      </c>
      <c r="I595" s="185"/>
      <c r="J595" s="144"/>
      <c r="K595" s="159" t="str">
        <f aca="false">IF(C595="","",N(C595)/IF(N595&lt;&gt;"",N595,IF(J595="",1,IFERROR(INDEX(Setup!$C$23:$C$46,MATCH(J595,Setup!$A$23:$A$46,0)),1))))</f>
        <v/>
      </c>
      <c r="L595" s="144"/>
      <c r="M595" s="108"/>
      <c r="N595" s="111"/>
      <c r="O595" s="156" t="str">
        <f aca="false">IF(OR(B595="",L595="Transfer"),"",IF(COUNTIFS($B$5:$B$604,B595,$H$5:$H$604,EDATE(H595,-1),$C$5:$C$604,"&gt;="&amp;C595*0.85,$C$5:$C$604,"&lt;="&amp;C595*1.15)&gt;0,"recurring",""))</f>
        <v/>
      </c>
      <c r="P595" s="157" t="str">
        <f aca="false">IF(B595="","",IF(COUNTIF(B595:$B$604,B595)=1,1,""))</f>
        <v/>
      </c>
      <c r="Q595" s="157" t="str">
        <f aca="false">IF(AND(O595="recurring",P595=1),COUNTIFS($O$5:O595,"recurring",$P$5:P595,1),"")</f>
        <v/>
      </c>
    </row>
    <row r="596" customFormat="false" ht="15" hidden="false" customHeight="false" outlineLevel="0" collapsed="false">
      <c r="A596" s="110"/>
      <c r="B596" s="108"/>
      <c r="C596" s="142"/>
      <c r="D596" s="108"/>
      <c r="E596" s="183" t="str">
        <f aca="false" t="array" ref="E596:E596">IF(B596="","",IFERROR(INDEX(Keywords!$B$5:$B$165,MAX(ISNUMBER(SEARCH(Keywords!$A$5:$A$165,B596))*(Keywords!$A$5:$A$165&lt;&gt;"")*ROW(Keywords!$A$5:$A$165))-4),""))</f>
        <v/>
      </c>
      <c r="F596" s="150" t="str">
        <f aca="false">IF(B596="","",IF(L596="Transfer","Transfer",IF(L596="Income","Income",IF(D596&lt;&gt;"",D596,IF(E596&lt;&gt;"",E596,"Uncategorized")))))</f>
        <v/>
      </c>
      <c r="G596" s="108"/>
      <c r="H596" s="184" t="str">
        <f aca="false">IF(A596="","",DATE(YEAR(A596),MONTH(A596),1))</f>
        <v/>
      </c>
      <c r="I596" s="185"/>
      <c r="J596" s="144"/>
      <c r="K596" s="159" t="str">
        <f aca="false">IF(C596="","",N(C596)/IF(N596&lt;&gt;"",N596,IF(J596="",1,IFERROR(INDEX(Setup!$C$23:$C$46,MATCH(J596,Setup!$A$23:$A$46,0)),1))))</f>
        <v/>
      </c>
      <c r="L596" s="144"/>
      <c r="M596" s="108"/>
      <c r="N596" s="111"/>
      <c r="O596" s="156" t="str">
        <f aca="false">IF(OR(B596="",L596="Transfer"),"",IF(COUNTIFS($B$5:$B$604,B596,$H$5:$H$604,EDATE(H596,-1),$C$5:$C$604,"&gt;="&amp;C596*0.85,$C$5:$C$604,"&lt;="&amp;C596*1.15)&gt;0,"recurring",""))</f>
        <v/>
      </c>
      <c r="P596" s="157" t="str">
        <f aca="false">IF(B596="","",IF(COUNTIF(B596:$B$604,B596)=1,1,""))</f>
        <v/>
      </c>
      <c r="Q596" s="157" t="str">
        <f aca="false">IF(AND(O596="recurring",P596=1),COUNTIFS($O$5:O596,"recurring",$P$5:P596,1),"")</f>
        <v/>
      </c>
    </row>
    <row r="597" customFormat="false" ht="15" hidden="false" customHeight="false" outlineLevel="0" collapsed="false">
      <c r="A597" s="110"/>
      <c r="B597" s="108"/>
      <c r="C597" s="142"/>
      <c r="D597" s="108"/>
      <c r="E597" s="183" t="str">
        <f aca="false" t="array" ref="E597:E597">IF(B597="","",IFERROR(INDEX(Keywords!$B$5:$B$165,MAX(ISNUMBER(SEARCH(Keywords!$A$5:$A$165,B597))*(Keywords!$A$5:$A$165&lt;&gt;"")*ROW(Keywords!$A$5:$A$165))-4),""))</f>
        <v/>
      </c>
      <c r="F597" s="150" t="str">
        <f aca="false">IF(B597="","",IF(L597="Transfer","Transfer",IF(L597="Income","Income",IF(D597&lt;&gt;"",D597,IF(E597&lt;&gt;"",E597,"Uncategorized")))))</f>
        <v/>
      </c>
      <c r="G597" s="108"/>
      <c r="H597" s="184" t="str">
        <f aca="false">IF(A597="","",DATE(YEAR(A597),MONTH(A597),1))</f>
        <v/>
      </c>
      <c r="I597" s="185"/>
      <c r="J597" s="144"/>
      <c r="K597" s="159" t="str">
        <f aca="false">IF(C597="","",N(C597)/IF(N597&lt;&gt;"",N597,IF(J597="",1,IFERROR(INDEX(Setup!$C$23:$C$46,MATCH(J597,Setup!$A$23:$A$46,0)),1))))</f>
        <v/>
      </c>
      <c r="L597" s="144"/>
      <c r="M597" s="108"/>
      <c r="N597" s="111"/>
      <c r="O597" s="156" t="str">
        <f aca="false">IF(OR(B597="",L597="Transfer"),"",IF(COUNTIFS($B$5:$B$604,B597,$H$5:$H$604,EDATE(H597,-1),$C$5:$C$604,"&gt;="&amp;C597*0.85,$C$5:$C$604,"&lt;="&amp;C597*1.15)&gt;0,"recurring",""))</f>
        <v/>
      </c>
      <c r="P597" s="157" t="str">
        <f aca="false">IF(B597="","",IF(COUNTIF(B597:$B$604,B597)=1,1,""))</f>
        <v/>
      </c>
      <c r="Q597" s="157" t="str">
        <f aca="false">IF(AND(O597="recurring",P597=1),COUNTIFS($O$5:O597,"recurring",$P$5:P597,1),"")</f>
        <v/>
      </c>
    </row>
    <row r="598" customFormat="false" ht="15" hidden="false" customHeight="false" outlineLevel="0" collapsed="false">
      <c r="A598" s="110"/>
      <c r="B598" s="108"/>
      <c r="C598" s="142"/>
      <c r="D598" s="108"/>
      <c r="E598" s="183" t="str">
        <f aca="false" t="array" ref="E598:E598">IF(B598="","",IFERROR(INDEX(Keywords!$B$5:$B$165,MAX(ISNUMBER(SEARCH(Keywords!$A$5:$A$165,B598))*(Keywords!$A$5:$A$165&lt;&gt;"")*ROW(Keywords!$A$5:$A$165))-4),""))</f>
        <v/>
      </c>
      <c r="F598" s="150" t="str">
        <f aca="false">IF(B598="","",IF(L598="Transfer","Transfer",IF(L598="Income","Income",IF(D598&lt;&gt;"",D598,IF(E598&lt;&gt;"",E598,"Uncategorized")))))</f>
        <v/>
      </c>
      <c r="G598" s="108"/>
      <c r="H598" s="184" t="str">
        <f aca="false">IF(A598="","",DATE(YEAR(A598),MONTH(A598),1))</f>
        <v/>
      </c>
      <c r="I598" s="185"/>
      <c r="J598" s="144"/>
      <c r="K598" s="159" t="str">
        <f aca="false">IF(C598="","",N(C598)/IF(N598&lt;&gt;"",N598,IF(J598="",1,IFERROR(INDEX(Setup!$C$23:$C$46,MATCH(J598,Setup!$A$23:$A$46,0)),1))))</f>
        <v/>
      </c>
      <c r="L598" s="144"/>
      <c r="M598" s="108"/>
      <c r="N598" s="111"/>
      <c r="O598" s="156" t="str">
        <f aca="false">IF(OR(B598="",L598="Transfer"),"",IF(COUNTIFS($B$5:$B$604,B598,$H$5:$H$604,EDATE(H598,-1),$C$5:$C$604,"&gt;="&amp;C598*0.85,$C$5:$C$604,"&lt;="&amp;C598*1.15)&gt;0,"recurring",""))</f>
        <v/>
      </c>
      <c r="P598" s="157" t="str">
        <f aca="false">IF(B598="","",IF(COUNTIF(B598:$B$604,B598)=1,1,""))</f>
        <v/>
      </c>
      <c r="Q598" s="157" t="str">
        <f aca="false">IF(AND(O598="recurring",P598=1),COUNTIFS($O$5:O598,"recurring",$P$5:P598,1),"")</f>
        <v/>
      </c>
    </row>
    <row r="599" customFormat="false" ht="15" hidden="false" customHeight="false" outlineLevel="0" collapsed="false">
      <c r="A599" s="110"/>
      <c r="B599" s="108"/>
      <c r="C599" s="142"/>
      <c r="D599" s="108"/>
      <c r="E599" s="183" t="str">
        <f aca="false" t="array" ref="E599:E599">IF(B599="","",IFERROR(INDEX(Keywords!$B$5:$B$165,MAX(ISNUMBER(SEARCH(Keywords!$A$5:$A$165,B599))*(Keywords!$A$5:$A$165&lt;&gt;"")*ROW(Keywords!$A$5:$A$165))-4),""))</f>
        <v/>
      </c>
      <c r="F599" s="150" t="str">
        <f aca="false">IF(B599="","",IF(L599="Transfer","Transfer",IF(L599="Income","Income",IF(D599&lt;&gt;"",D599,IF(E599&lt;&gt;"",E599,"Uncategorized")))))</f>
        <v/>
      </c>
      <c r="G599" s="108"/>
      <c r="H599" s="184" t="str">
        <f aca="false">IF(A599="","",DATE(YEAR(A599),MONTH(A599),1))</f>
        <v/>
      </c>
      <c r="I599" s="185"/>
      <c r="J599" s="144"/>
      <c r="K599" s="159" t="str">
        <f aca="false">IF(C599="","",N(C599)/IF(N599&lt;&gt;"",N599,IF(J599="",1,IFERROR(INDEX(Setup!$C$23:$C$46,MATCH(J599,Setup!$A$23:$A$46,0)),1))))</f>
        <v/>
      </c>
      <c r="L599" s="144"/>
      <c r="M599" s="108"/>
      <c r="N599" s="111"/>
      <c r="O599" s="156" t="str">
        <f aca="false">IF(OR(B599="",L599="Transfer"),"",IF(COUNTIFS($B$5:$B$604,B599,$H$5:$H$604,EDATE(H599,-1),$C$5:$C$604,"&gt;="&amp;C599*0.85,$C$5:$C$604,"&lt;="&amp;C599*1.15)&gt;0,"recurring",""))</f>
        <v/>
      </c>
      <c r="P599" s="157" t="str">
        <f aca="false">IF(B599="","",IF(COUNTIF(B599:$B$604,B599)=1,1,""))</f>
        <v/>
      </c>
      <c r="Q599" s="157" t="str">
        <f aca="false">IF(AND(O599="recurring",P599=1),COUNTIFS($O$5:O599,"recurring",$P$5:P599,1),"")</f>
        <v/>
      </c>
    </row>
    <row r="600" customFormat="false" ht="15" hidden="false" customHeight="false" outlineLevel="0" collapsed="false">
      <c r="A600" s="110"/>
      <c r="B600" s="108"/>
      <c r="C600" s="142"/>
      <c r="D600" s="108"/>
      <c r="E600" s="183" t="str">
        <f aca="false" t="array" ref="E600:E600">IF(B600="","",IFERROR(INDEX(Keywords!$B$5:$B$165,MAX(ISNUMBER(SEARCH(Keywords!$A$5:$A$165,B600))*(Keywords!$A$5:$A$165&lt;&gt;"")*ROW(Keywords!$A$5:$A$165))-4),""))</f>
        <v/>
      </c>
      <c r="F600" s="150" t="str">
        <f aca="false">IF(B600="","",IF(L600="Transfer","Transfer",IF(L600="Income","Income",IF(D600&lt;&gt;"",D600,IF(E600&lt;&gt;"",E600,"Uncategorized")))))</f>
        <v/>
      </c>
      <c r="G600" s="108"/>
      <c r="H600" s="184" t="str">
        <f aca="false">IF(A600="","",DATE(YEAR(A600),MONTH(A600),1))</f>
        <v/>
      </c>
      <c r="I600" s="185"/>
      <c r="J600" s="144"/>
      <c r="K600" s="159" t="str">
        <f aca="false">IF(C600="","",N(C600)/IF(N600&lt;&gt;"",N600,IF(J600="",1,IFERROR(INDEX(Setup!$C$23:$C$46,MATCH(J600,Setup!$A$23:$A$46,0)),1))))</f>
        <v/>
      </c>
      <c r="L600" s="144"/>
      <c r="M600" s="108"/>
      <c r="N600" s="111"/>
      <c r="O600" s="156" t="str">
        <f aca="false">IF(OR(B600="",L600="Transfer"),"",IF(COUNTIFS($B$5:$B$604,B600,$H$5:$H$604,EDATE(H600,-1),$C$5:$C$604,"&gt;="&amp;C600*0.85,$C$5:$C$604,"&lt;="&amp;C600*1.15)&gt;0,"recurring",""))</f>
        <v/>
      </c>
      <c r="P600" s="157" t="str">
        <f aca="false">IF(B600="","",IF(COUNTIF(B600:$B$604,B600)=1,1,""))</f>
        <v/>
      </c>
      <c r="Q600" s="157" t="str">
        <f aca="false">IF(AND(O600="recurring",P600=1),COUNTIFS($O$5:O600,"recurring",$P$5:P600,1),"")</f>
        <v/>
      </c>
    </row>
    <row r="601" customFormat="false" ht="15" hidden="false" customHeight="false" outlineLevel="0" collapsed="false">
      <c r="A601" s="110"/>
      <c r="B601" s="108"/>
      <c r="C601" s="142"/>
      <c r="D601" s="108"/>
      <c r="E601" s="183" t="str">
        <f aca="false" t="array" ref="E601:E601">IF(B601="","",IFERROR(INDEX(Keywords!$B$5:$B$165,MAX(ISNUMBER(SEARCH(Keywords!$A$5:$A$165,B601))*(Keywords!$A$5:$A$165&lt;&gt;"")*ROW(Keywords!$A$5:$A$165))-4),""))</f>
        <v/>
      </c>
      <c r="F601" s="150" t="str">
        <f aca="false">IF(B601="","",IF(L601="Transfer","Transfer",IF(L601="Income","Income",IF(D601&lt;&gt;"",D601,IF(E601&lt;&gt;"",E601,"Uncategorized")))))</f>
        <v/>
      </c>
      <c r="G601" s="108"/>
      <c r="H601" s="184" t="str">
        <f aca="false">IF(A601="","",DATE(YEAR(A601),MONTH(A601),1))</f>
        <v/>
      </c>
      <c r="I601" s="185"/>
      <c r="J601" s="144"/>
      <c r="K601" s="159" t="str">
        <f aca="false">IF(C601="","",N(C601)/IF(N601&lt;&gt;"",N601,IF(J601="",1,IFERROR(INDEX(Setup!$C$23:$C$46,MATCH(J601,Setup!$A$23:$A$46,0)),1))))</f>
        <v/>
      </c>
      <c r="L601" s="144"/>
      <c r="M601" s="108"/>
      <c r="N601" s="111"/>
      <c r="O601" s="156" t="str">
        <f aca="false">IF(OR(B601="",L601="Transfer"),"",IF(COUNTIFS($B$5:$B$604,B601,$H$5:$H$604,EDATE(H601,-1),$C$5:$C$604,"&gt;="&amp;C601*0.85,$C$5:$C$604,"&lt;="&amp;C601*1.15)&gt;0,"recurring",""))</f>
        <v/>
      </c>
      <c r="P601" s="157" t="str">
        <f aca="false">IF(B601="","",IF(COUNTIF(B601:$B$604,B601)=1,1,""))</f>
        <v/>
      </c>
      <c r="Q601" s="157" t="str">
        <f aca="false">IF(AND(O601="recurring",P601=1),COUNTIFS($O$5:O601,"recurring",$P$5:P601,1),"")</f>
        <v/>
      </c>
    </row>
    <row r="602" customFormat="false" ht="15" hidden="false" customHeight="false" outlineLevel="0" collapsed="false">
      <c r="A602" s="110"/>
      <c r="B602" s="108"/>
      <c r="C602" s="142"/>
      <c r="D602" s="108"/>
      <c r="E602" s="183" t="str">
        <f aca="false" t="array" ref="E602:E602">IF(B602="","",IFERROR(INDEX(Keywords!$B$5:$B$165,MAX(ISNUMBER(SEARCH(Keywords!$A$5:$A$165,B602))*(Keywords!$A$5:$A$165&lt;&gt;"")*ROW(Keywords!$A$5:$A$165))-4),""))</f>
        <v/>
      </c>
      <c r="F602" s="150" t="str">
        <f aca="false">IF(B602="","",IF(L602="Transfer","Transfer",IF(L602="Income","Income",IF(D602&lt;&gt;"",D602,IF(E602&lt;&gt;"",E602,"Uncategorized")))))</f>
        <v/>
      </c>
      <c r="G602" s="108"/>
      <c r="H602" s="184" t="str">
        <f aca="false">IF(A602="","",DATE(YEAR(A602),MONTH(A602),1))</f>
        <v/>
      </c>
      <c r="I602" s="185"/>
      <c r="J602" s="144"/>
      <c r="K602" s="159" t="str">
        <f aca="false">IF(C602="","",N(C602)/IF(N602&lt;&gt;"",N602,IF(J602="",1,IFERROR(INDEX(Setup!$C$23:$C$46,MATCH(J602,Setup!$A$23:$A$46,0)),1))))</f>
        <v/>
      </c>
      <c r="L602" s="144"/>
      <c r="M602" s="108"/>
      <c r="N602" s="111"/>
      <c r="O602" s="156" t="str">
        <f aca="false">IF(OR(B602="",L602="Transfer"),"",IF(COUNTIFS($B$5:$B$604,B602,$H$5:$H$604,EDATE(H602,-1),$C$5:$C$604,"&gt;="&amp;C602*0.85,$C$5:$C$604,"&lt;="&amp;C602*1.15)&gt;0,"recurring",""))</f>
        <v/>
      </c>
      <c r="P602" s="157" t="str">
        <f aca="false">IF(B602="","",IF(COUNTIF(B602:$B$604,B602)=1,1,""))</f>
        <v/>
      </c>
      <c r="Q602" s="157" t="str">
        <f aca="false">IF(AND(O602="recurring",P602=1),COUNTIFS($O$5:O602,"recurring",$P$5:P602,1),"")</f>
        <v/>
      </c>
    </row>
    <row r="603" customFormat="false" ht="15" hidden="false" customHeight="false" outlineLevel="0" collapsed="false">
      <c r="A603" s="110"/>
      <c r="B603" s="108"/>
      <c r="C603" s="142"/>
      <c r="D603" s="108"/>
      <c r="E603" s="183" t="str">
        <f aca="false" t="array" ref="E603:E603">IF(B603="","",IFERROR(INDEX(Keywords!$B$5:$B$165,MAX(ISNUMBER(SEARCH(Keywords!$A$5:$A$165,B603))*(Keywords!$A$5:$A$165&lt;&gt;"")*ROW(Keywords!$A$5:$A$165))-4),""))</f>
        <v/>
      </c>
      <c r="F603" s="150" t="str">
        <f aca="false">IF(B603="","",IF(L603="Transfer","Transfer",IF(L603="Income","Income",IF(D603&lt;&gt;"",D603,IF(E603&lt;&gt;"",E603,"Uncategorized")))))</f>
        <v/>
      </c>
      <c r="G603" s="108"/>
      <c r="H603" s="184" t="str">
        <f aca="false">IF(A603="","",DATE(YEAR(A603),MONTH(A603),1))</f>
        <v/>
      </c>
      <c r="I603" s="185"/>
      <c r="J603" s="144"/>
      <c r="K603" s="159" t="str">
        <f aca="false">IF(C603="","",N(C603)/IF(N603&lt;&gt;"",N603,IF(J603="",1,IFERROR(INDEX(Setup!$C$23:$C$46,MATCH(J603,Setup!$A$23:$A$46,0)),1))))</f>
        <v/>
      </c>
      <c r="L603" s="144"/>
      <c r="M603" s="108"/>
      <c r="N603" s="111"/>
      <c r="O603" s="156" t="str">
        <f aca="false">IF(OR(B603="",L603="Transfer"),"",IF(COUNTIFS($B$5:$B$604,B603,$H$5:$H$604,EDATE(H603,-1),$C$5:$C$604,"&gt;="&amp;C603*0.85,$C$5:$C$604,"&lt;="&amp;C603*1.15)&gt;0,"recurring",""))</f>
        <v/>
      </c>
      <c r="P603" s="157" t="str">
        <f aca="false">IF(B603="","",IF(COUNTIF(B603:$B$604,B603)=1,1,""))</f>
        <v/>
      </c>
      <c r="Q603" s="157" t="str">
        <f aca="false">IF(AND(O603="recurring",P603=1),COUNTIFS($O$5:O603,"recurring",$P$5:P603,1),"")</f>
        <v/>
      </c>
    </row>
    <row r="604" customFormat="false" ht="15" hidden="false" customHeight="false" outlineLevel="0" collapsed="false">
      <c r="A604" s="110"/>
      <c r="B604" s="108"/>
      <c r="C604" s="142"/>
      <c r="D604" s="108"/>
      <c r="E604" s="183" t="str">
        <f aca="false" t="array" ref="E604:E604">IF(B604="","",IFERROR(INDEX(Keywords!$B$5:$B$165,MAX(ISNUMBER(SEARCH(Keywords!$A$5:$A$165,B604))*(Keywords!$A$5:$A$165&lt;&gt;"")*ROW(Keywords!$A$5:$A$165))-4),""))</f>
        <v/>
      </c>
      <c r="F604" s="150" t="str">
        <f aca="false">IF(B604="","",IF(L604="Transfer","Transfer",IF(L604="Income","Income",IF(D604&lt;&gt;"",D604,IF(E604&lt;&gt;"",E604,"Uncategorized")))))</f>
        <v/>
      </c>
      <c r="G604" s="108"/>
      <c r="H604" s="184" t="str">
        <f aca="false">IF(A604="","",DATE(YEAR(A604),MONTH(A604),1))</f>
        <v/>
      </c>
      <c r="I604" s="185"/>
      <c r="J604" s="144"/>
      <c r="K604" s="159" t="str">
        <f aca="false">IF(C604="","",N(C604)/IF(N604&lt;&gt;"",N604,IF(J604="",1,IFERROR(INDEX(Setup!$C$23:$C$46,MATCH(J604,Setup!$A$23:$A$46,0)),1))))</f>
        <v/>
      </c>
      <c r="L604" s="144"/>
      <c r="M604" s="108"/>
      <c r="N604" s="111"/>
      <c r="O604" s="156" t="str">
        <f aca="false">IF(OR(B604="",L604="Transfer"),"",IF(COUNTIFS($B$5:$B$604,B604,$H$5:$H$604,EDATE(H604,-1),$C$5:$C$604,"&gt;="&amp;C604*0.85,$C$5:$C$604,"&lt;="&amp;C604*1.15)&gt;0,"recurring",""))</f>
        <v/>
      </c>
      <c r="P604" s="157" t="str">
        <f aca="false">IF(B604="","",IF(COUNTIF(B604:$B$604,B604)=1,1,""))</f>
        <v/>
      </c>
      <c r="Q604" s="157" t="str">
        <f aca="false">IF(AND(O604="recurring",P604=1),COUNTIFS($O$5:O604,"recurring",$P$5:P604,1),"")</f>
        <v/>
      </c>
    </row>
  </sheetData>
  <sheetProtection sheet="true" scenarios="true" formatCells="false" formatColumns="false" formatRows="false" sort="false" autoFilter="false"/>
  <autoFilter ref="A4:Q604"/>
  <conditionalFormatting sqref="F5:F604">
    <cfRule type="cellIs" priority="2" operator="equal" aboveAverage="0" equalAverage="0" bottom="0" percent="0" rank="0" text="" dxfId="26">
      <formula>"Uncategorized"</formula>
    </cfRule>
  </conditionalFormatting>
  <conditionalFormatting sqref="O5:O604">
    <cfRule type="cellIs" priority="3" operator="equal" aboveAverage="0" equalAverage="0" bottom="0" percent="0" rank="0" text="" dxfId="4">
      <formula>"recurring"</formula>
    </cfRule>
  </conditionalFormatting>
  <conditionalFormatting sqref="A5:P604">
    <cfRule type="expression" priority="4" aboveAverage="0" equalAverage="0" bottom="0" percent="0" rank="0" text="" dxfId="27">
      <formula>$L5="Income"</formula>
    </cfRule>
    <cfRule type="expression" priority="5" aboveAverage="0" equalAverage="0" bottom="0" percent="0" rank="0" text="" dxfId="28">
      <formula>$L5="Transfer"</formula>
    </cfRule>
  </conditionalFormatting>
  <conditionalFormatting sqref="A5:Q604">
    <cfRule type="expression" priority="6" aboveAverage="0" equalAverage="0" bottom="0" percent="0" rank="0" text="" dxfId="5">
      <formula>MOD(ROW(),2)=0</formula>
    </cfRule>
  </conditionalFormatting>
  <dataValidations count="5">
    <dataValidation allowBlank="true" errorStyle="stop" operator="between" showDropDown="false" showErrorMessage="false" showInputMessage="false" sqref="D5:D604" type="list">
      <formula1>Budget!$A$5:$A$34</formula1>
      <formula2>0</formula2>
    </dataValidation>
    <dataValidation allowBlank="true" errorStyle="stop" operator="between" showDropDown="false" showErrorMessage="false" showInputMessage="false" sqref="G5:G604" type="list">
      <formula1>Accounts!$A$5:$A$15</formula1>
      <formula2>0</formula2>
    </dataValidation>
    <dataValidation allowBlank="true" errorStyle="stop" operator="between" showDropDown="false" showErrorMessage="false" showInputMessage="false" sqref="J5:J604" type="list">
      <formula1>Setup!$A$23:$A$46</formula1>
      <formula2>0</formula2>
    </dataValidation>
    <dataValidation allowBlank="true" errorStyle="stop" operator="between" showDropDown="false" showErrorMessage="false" showInputMessage="false" sqref="L5:L604" type="list">
      <formula1>"Expense,Income,Transfer"</formula1>
      <formula2>0</formula2>
    </dataValidation>
    <dataValidation allowBlank="true" errorStyle="stop" operator="between" showDropDown="false" showErrorMessage="false" showInputMessage="false" sqref="M5:M604" type="list">
      <formula1>Accounts!$A$5:$A$15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Expense Log&amp;R&amp;8 Page &amp;P of &amp;N · printed &amp;D</oddFooter>
  </headerFooter>
  <drawing r:id="rId4"/>
  <legacy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2"/>
    <col collapsed="false" customWidth="true" hidden="false" outlineLevel="0" max="5" min="5" style="0" width="2"/>
    <col collapsed="false" customWidth="true" hidden="false" outlineLevel="0" max="25" min="6" style="0" width="11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4" hidden="false" customHeight="true" outlineLevel="0" collapsed="false">
      <c r="A2" s="98" t="s">
        <v>1101</v>
      </c>
    </row>
    <row r="3" customFormat="false" ht="15" hidden="false" customHeight="false" outlineLevel="0" collapsed="false">
      <c r="A3" s="174" t="s">
        <v>1102</v>
      </c>
      <c r="B3" s="186" t="n">
        <f aca="true">DATE(YEAR(TODAY()),MONTH(TODAY()),1)</f>
        <v>46296</v>
      </c>
    </row>
    <row r="4" customFormat="false" ht="19.5" hidden="false" customHeight="true" outlineLevel="0" collapsed="false">
      <c r="A4" s="107" t="s">
        <v>1103</v>
      </c>
      <c r="B4" s="107" t="s">
        <v>1104</v>
      </c>
      <c r="C4" s="107" t="s">
        <v>1105</v>
      </c>
      <c r="D4" s="107" t="s">
        <v>1106</v>
      </c>
      <c r="E4" s="107"/>
      <c r="F4" s="164" t="n">
        <f aca="false">Forecast!C$3</f>
        <v>46296</v>
      </c>
      <c r="G4" s="164" t="n">
        <f aca="false">Forecast!D$3</f>
        <v>46327</v>
      </c>
      <c r="H4" s="164" t="n">
        <f aca="false">Forecast!E$3</f>
        <v>46357</v>
      </c>
      <c r="I4" s="164" t="n">
        <f aca="false">Forecast!F$3</f>
        <v>46388</v>
      </c>
      <c r="J4" s="164" t="n">
        <f aca="false">Forecast!G$3</f>
        <v>46419</v>
      </c>
      <c r="K4" s="164" t="n">
        <f aca="false">Forecast!H$3</f>
        <v>46447</v>
      </c>
      <c r="L4" s="164" t="n">
        <f aca="false">Forecast!I$3</f>
        <v>46478</v>
      </c>
      <c r="M4" s="164" t="n">
        <f aca="false">Forecast!J$3</f>
        <v>46508</v>
      </c>
      <c r="N4" s="164" t="n">
        <f aca="false">Forecast!K$3</f>
        <v>46539</v>
      </c>
      <c r="O4" s="164" t="n">
        <f aca="false">Forecast!L$3</f>
        <v>46569</v>
      </c>
      <c r="P4" s="164" t="n">
        <f aca="false">Forecast!M$3</f>
        <v>46600</v>
      </c>
      <c r="Q4" s="164" t="n">
        <f aca="false">Forecast!N$3</f>
        <v>46631</v>
      </c>
      <c r="R4" s="164" t="n">
        <f aca="false">Forecast!O$3</f>
        <v>46661</v>
      </c>
      <c r="S4" s="164" t="n">
        <f aca="false">Forecast!P$3</f>
        <v>46692</v>
      </c>
      <c r="T4" s="164" t="n">
        <f aca="false">Forecast!Q$3</f>
        <v>46722</v>
      </c>
      <c r="U4" s="164" t="n">
        <f aca="false">Forecast!R$3</f>
        <v>46753</v>
      </c>
      <c r="V4" s="164" t="n">
        <f aca="false">Forecast!S$3</f>
        <v>46784</v>
      </c>
      <c r="W4" s="164" t="n">
        <f aca="false">Forecast!T$3</f>
        <v>46813</v>
      </c>
      <c r="X4" s="164" t="n">
        <f aca="false">Forecast!U$3</f>
        <v>46844</v>
      </c>
      <c r="Y4" s="164" t="n">
        <f aca="false">Forecast!V$3</f>
        <v>46874</v>
      </c>
    </row>
    <row r="5" customFormat="false" ht="15" hidden="false" customHeight="false" outlineLevel="0" collapsed="false">
      <c r="A5" s="154" t="str">
        <f aca="false">IF(Budget!A5="","",Budget!A5)</f>
        <v>Rent / mortgage</v>
      </c>
      <c r="B5" s="114" t="n">
        <f aca="false">IF(A5="","",Budget!K5)</f>
        <v>0</v>
      </c>
      <c r="C5" s="114" t="n">
        <f aca="false">IF(A5="","",SUMIFS('Expense Log'!$K$5:$K$604,'Expense Log'!$F$5:$F$604,A5,'Expense Log'!$H$5:$H$604,$B$3))</f>
        <v>0</v>
      </c>
      <c r="D5" s="147" t="n">
        <f aca="false">IF(A5="","",C5-B5)</f>
        <v>0</v>
      </c>
      <c r="F5" s="114" t="n">
        <f aca="false">IF($A5="","",SUMIFS('Expense Log'!$K$5:$K$604,'Expense Log'!$F$5:$F$604,$A5,'Expense Log'!$H$5:$H$604,F$4))</f>
        <v>0</v>
      </c>
      <c r="G5" s="114" t="n">
        <f aca="false">IF($A5="","",SUMIFS('Expense Log'!$K$5:$K$604,'Expense Log'!$F$5:$F$604,$A5,'Expense Log'!$H$5:$H$604,G$4))</f>
        <v>0</v>
      </c>
      <c r="H5" s="114" t="n">
        <f aca="false">IF($A5="","",SUMIFS('Expense Log'!$K$5:$K$604,'Expense Log'!$F$5:$F$604,$A5,'Expense Log'!$H$5:$H$604,H$4))</f>
        <v>0</v>
      </c>
      <c r="I5" s="114" t="n">
        <f aca="false">IF($A5="","",SUMIFS('Expense Log'!$K$5:$K$604,'Expense Log'!$F$5:$F$604,$A5,'Expense Log'!$H$5:$H$604,I$4))</f>
        <v>0</v>
      </c>
      <c r="J5" s="114" t="n">
        <f aca="false">IF($A5="","",SUMIFS('Expense Log'!$K$5:$K$604,'Expense Log'!$F$5:$F$604,$A5,'Expense Log'!$H$5:$H$604,J$4))</f>
        <v>0</v>
      </c>
      <c r="K5" s="114" t="n">
        <f aca="false">IF($A5="","",SUMIFS('Expense Log'!$K$5:$K$604,'Expense Log'!$F$5:$F$604,$A5,'Expense Log'!$H$5:$H$604,K$4))</f>
        <v>0</v>
      </c>
      <c r="L5" s="114" t="n">
        <f aca="false">IF($A5="","",SUMIFS('Expense Log'!$K$5:$K$604,'Expense Log'!$F$5:$F$604,$A5,'Expense Log'!$H$5:$H$604,L$4))</f>
        <v>0</v>
      </c>
      <c r="M5" s="114" t="n">
        <f aca="false">IF($A5="","",SUMIFS('Expense Log'!$K$5:$K$604,'Expense Log'!$F$5:$F$604,$A5,'Expense Log'!$H$5:$H$604,M$4))</f>
        <v>0</v>
      </c>
      <c r="N5" s="114" t="n">
        <f aca="false">IF($A5="","",SUMIFS('Expense Log'!$K$5:$K$604,'Expense Log'!$F$5:$F$604,$A5,'Expense Log'!$H$5:$H$604,N$4))</f>
        <v>0</v>
      </c>
      <c r="O5" s="114" t="n">
        <f aca="false">IF($A5="","",SUMIFS('Expense Log'!$K$5:$K$604,'Expense Log'!$F$5:$F$604,$A5,'Expense Log'!$H$5:$H$604,O$4))</f>
        <v>0</v>
      </c>
      <c r="P5" s="114" t="n">
        <f aca="false">IF($A5="","",SUMIFS('Expense Log'!$K$5:$K$604,'Expense Log'!$F$5:$F$604,$A5,'Expense Log'!$H$5:$H$604,P$4))</f>
        <v>0</v>
      </c>
      <c r="Q5" s="114" t="n">
        <f aca="false">IF($A5="","",SUMIFS('Expense Log'!$K$5:$K$604,'Expense Log'!$F$5:$F$604,$A5,'Expense Log'!$H$5:$H$604,Q$4))</f>
        <v>0</v>
      </c>
      <c r="R5" s="114" t="n">
        <f aca="false">IF($A5="","",SUMIFS('Expense Log'!$K$5:$K$604,'Expense Log'!$F$5:$F$604,$A5,'Expense Log'!$H$5:$H$604,R$4))</f>
        <v>0</v>
      </c>
      <c r="S5" s="114" t="n">
        <f aca="false">IF($A5="","",SUMIFS('Expense Log'!$K$5:$K$604,'Expense Log'!$F$5:$F$604,$A5,'Expense Log'!$H$5:$H$604,S$4))</f>
        <v>0</v>
      </c>
      <c r="T5" s="114" t="n">
        <f aca="false">IF($A5="","",SUMIFS('Expense Log'!$K$5:$K$604,'Expense Log'!$F$5:$F$604,$A5,'Expense Log'!$H$5:$H$604,T$4))</f>
        <v>0</v>
      </c>
      <c r="U5" s="114" t="n">
        <f aca="false">IF($A5="","",SUMIFS('Expense Log'!$K$5:$K$604,'Expense Log'!$F$5:$F$604,$A5,'Expense Log'!$H$5:$H$604,U$4))</f>
        <v>0</v>
      </c>
      <c r="V5" s="114" t="n">
        <f aca="false">IF($A5="","",SUMIFS('Expense Log'!$K$5:$K$604,'Expense Log'!$F$5:$F$604,$A5,'Expense Log'!$H$5:$H$604,V$4))</f>
        <v>0</v>
      </c>
      <c r="W5" s="114" t="n">
        <f aca="false">IF($A5="","",SUMIFS('Expense Log'!$K$5:$K$604,'Expense Log'!$F$5:$F$604,$A5,'Expense Log'!$H$5:$H$604,W$4))</f>
        <v>0</v>
      </c>
      <c r="X5" s="114" t="n">
        <f aca="false">IF($A5="","",SUMIFS('Expense Log'!$K$5:$K$604,'Expense Log'!$F$5:$F$604,$A5,'Expense Log'!$H$5:$H$604,X$4))</f>
        <v>0</v>
      </c>
      <c r="Y5" s="114" t="n">
        <f aca="false">IF($A5="","",SUMIFS('Expense Log'!$K$5:$K$604,'Expense Log'!$F$5:$F$604,$A5,'Expense Log'!$H$5:$H$604,Y$4))</f>
        <v>0</v>
      </c>
    </row>
    <row r="6" customFormat="false" ht="15" hidden="false" customHeight="false" outlineLevel="0" collapsed="false">
      <c r="A6" s="154" t="str">
        <f aca="false">IF(Budget!A6="","",Budget!A6)</f>
        <v>Home / renters insurance</v>
      </c>
      <c r="B6" s="114" t="n">
        <f aca="false">IF(A6="","",Budget!K6)</f>
        <v>0</v>
      </c>
      <c r="C6" s="114" t="n">
        <f aca="false">IF(A6="","",SUMIFS('Expense Log'!$K$5:$K$604,'Expense Log'!$F$5:$F$604,A6,'Expense Log'!$H$5:$H$604,$B$3))</f>
        <v>0</v>
      </c>
      <c r="D6" s="147" t="n">
        <f aca="false">IF(A6="","",C6-B6)</f>
        <v>0</v>
      </c>
      <c r="F6" s="114" t="n">
        <f aca="false">IF($A6="","",SUMIFS('Expense Log'!$K$5:$K$604,'Expense Log'!$F$5:$F$604,$A6,'Expense Log'!$H$5:$H$604,F$4))</f>
        <v>0</v>
      </c>
      <c r="G6" s="114" t="n">
        <f aca="false">IF($A6="","",SUMIFS('Expense Log'!$K$5:$K$604,'Expense Log'!$F$5:$F$604,$A6,'Expense Log'!$H$5:$H$604,G$4))</f>
        <v>0</v>
      </c>
      <c r="H6" s="114" t="n">
        <f aca="false">IF($A6="","",SUMIFS('Expense Log'!$K$5:$K$604,'Expense Log'!$F$5:$F$604,$A6,'Expense Log'!$H$5:$H$604,H$4))</f>
        <v>0</v>
      </c>
      <c r="I6" s="114" t="n">
        <f aca="false">IF($A6="","",SUMIFS('Expense Log'!$K$5:$K$604,'Expense Log'!$F$5:$F$604,$A6,'Expense Log'!$H$5:$H$604,I$4))</f>
        <v>0</v>
      </c>
      <c r="J6" s="114" t="n">
        <f aca="false">IF($A6="","",SUMIFS('Expense Log'!$K$5:$K$604,'Expense Log'!$F$5:$F$604,$A6,'Expense Log'!$H$5:$H$604,J$4))</f>
        <v>0</v>
      </c>
      <c r="K6" s="114" t="n">
        <f aca="false">IF($A6="","",SUMIFS('Expense Log'!$K$5:$K$604,'Expense Log'!$F$5:$F$604,$A6,'Expense Log'!$H$5:$H$604,K$4))</f>
        <v>0</v>
      </c>
      <c r="L6" s="114" t="n">
        <f aca="false">IF($A6="","",SUMIFS('Expense Log'!$K$5:$K$604,'Expense Log'!$F$5:$F$604,$A6,'Expense Log'!$H$5:$H$604,L$4))</f>
        <v>0</v>
      </c>
      <c r="M6" s="114" t="n">
        <f aca="false">IF($A6="","",SUMIFS('Expense Log'!$K$5:$K$604,'Expense Log'!$F$5:$F$604,$A6,'Expense Log'!$H$5:$H$604,M$4))</f>
        <v>0</v>
      </c>
      <c r="N6" s="114" t="n">
        <f aca="false">IF($A6="","",SUMIFS('Expense Log'!$K$5:$K$604,'Expense Log'!$F$5:$F$604,$A6,'Expense Log'!$H$5:$H$604,N$4))</f>
        <v>0</v>
      </c>
      <c r="O6" s="114" t="n">
        <f aca="false">IF($A6="","",SUMIFS('Expense Log'!$K$5:$K$604,'Expense Log'!$F$5:$F$604,$A6,'Expense Log'!$H$5:$H$604,O$4))</f>
        <v>0</v>
      </c>
      <c r="P6" s="114" t="n">
        <f aca="false">IF($A6="","",SUMIFS('Expense Log'!$K$5:$K$604,'Expense Log'!$F$5:$F$604,$A6,'Expense Log'!$H$5:$H$604,P$4))</f>
        <v>0</v>
      </c>
      <c r="Q6" s="114" t="n">
        <f aca="false">IF($A6="","",SUMIFS('Expense Log'!$K$5:$K$604,'Expense Log'!$F$5:$F$604,$A6,'Expense Log'!$H$5:$H$604,Q$4))</f>
        <v>0</v>
      </c>
      <c r="R6" s="114" t="n">
        <f aca="false">IF($A6="","",SUMIFS('Expense Log'!$K$5:$K$604,'Expense Log'!$F$5:$F$604,$A6,'Expense Log'!$H$5:$H$604,R$4))</f>
        <v>0</v>
      </c>
      <c r="S6" s="114" t="n">
        <f aca="false">IF($A6="","",SUMIFS('Expense Log'!$K$5:$K$604,'Expense Log'!$F$5:$F$604,$A6,'Expense Log'!$H$5:$H$604,S$4))</f>
        <v>0</v>
      </c>
      <c r="T6" s="114" t="n">
        <f aca="false">IF($A6="","",SUMIFS('Expense Log'!$K$5:$K$604,'Expense Log'!$F$5:$F$604,$A6,'Expense Log'!$H$5:$H$604,T$4))</f>
        <v>0</v>
      </c>
      <c r="U6" s="114" t="n">
        <f aca="false">IF($A6="","",SUMIFS('Expense Log'!$K$5:$K$604,'Expense Log'!$F$5:$F$604,$A6,'Expense Log'!$H$5:$H$604,U$4))</f>
        <v>0</v>
      </c>
      <c r="V6" s="114" t="n">
        <f aca="false">IF($A6="","",SUMIFS('Expense Log'!$K$5:$K$604,'Expense Log'!$F$5:$F$604,$A6,'Expense Log'!$H$5:$H$604,V$4))</f>
        <v>0</v>
      </c>
      <c r="W6" s="114" t="n">
        <f aca="false">IF($A6="","",SUMIFS('Expense Log'!$K$5:$K$604,'Expense Log'!$F$5:$F$604,$A6,'Expense Log'!$H$5:$H$604,W$4))</f>
        <v>0</v>
      </c>
      <c r="X6" s="114" t="n">
        <f aca="false">IF($A6="","",SUMIFS('Expense Log'!$K$5:$K$604,'Expense Log'!$F$5:$F$604,$A6,'Expense Log'!$H$5:$H$604,X$4))</f>
        <v>0</v>
      </c>
      <c r="Y6" s="114" t="n">
        <f aca="false">IF($A6="","",SUMIFS('Expense Log'!$K$5:$K$604,'Expense Log'!$F$5:$F$604,$A6,'Expense Log'!$H$5:$H$604,Y$4))</f>
        <v>0</v>
      </c>
    </row>
    <row r="7" customFormat="false" ht="15" hidden="false" customHeight="false" outlineLevel="0" collapsed="false">
      <c r="A7" s="154" t="str">
        <f aca="false">IF(Budget!A7="","",Budget!A7)</f>
        <v>Property tax</v>
      </c>
      <c r="B7" s="114" t="n">
        <f aca="false">IF(A7="","",Budget!K7)</f>
        <v>0</v>
      </c>
      <c r="C7" s="114" t="n">
        <f aca="false">IF(A7="","",SUMIFS('Expense Log'!$K$5:$K$604,'Expense Log'!$F$5:$F$604,A7,'Expense Log'!$H$5:$H$604,$B$3))</f>
        <v>0</v>
      </c>
      <c r="D7" s="147" t="n">
        <f aca="false">IF(A7="","",C7-B7)</f>
        <v>0</v>
      </c>
      <c r="F7" s="114" t="n">
        <f aca="false">IF($A7="","",SUMIFS('Expense Log'!$K$5:$K$604,'Expense Log'!$F$5:$F$604,$A7,'Expense Log'!$H$5:$H$604,F$4))</f>
        <v>0</v>
      </c>
      <c r="G7" s="114" t="n">
        <f aca="false">IF($A7="","",SUMIFS('Expense Log'!$K$5:$K$604,'Expense Log'!$F$5:$F$604,$A7,'Expense Log'!$H$5:$H$604,G$4))</f>
        <v>0</v>
      </c>
      <c r="H7" s="114" t="n">
        <f aca="false">IF($A7="","",SUMIFS('Expense Log'!$K$5:$K$604,'Expense Log'!$F$5:$F$604,$A7,'Expense Log'!$H$5:$H$604,H$4))</f>
        <v>0</v>
      </c>
      <c r="I7" s="114" t="n">
        <f aca="false">IF($A7="","",SUMIFS('Expense Log'!$K$5:$K$604,'Expense Log'!$F$5:$F$604,$A7,'Expense Log'!$H$5:$H$604,I$4))</f>
        <v>0</v>
      </c>
      <c r="J7" s="114" t="n">
        <f aca="false">IF($A7="","",SUMIFS('Expense Log'!$K$5:$K$604,'Expense Log'!$F$5:$F$604,$A7,'Expense Log'!$H$5:$H$604,J$4))</f>
        <v>0</v>
      </c>
      <c r="K7" s="114" t="n">
        <f aca="false">IF($A7="","",SUMIFS('Expense Log'!$K$5:$K$604,'Expense Log'!$F$5:$F$604,$A7,'Expense Log'!$H$5:$H$604,K$4))</f>
        <v>0</v>
      </c>
      <c r="L7" s="114" t="n">
        <f aca="false">IF($A7="","",SUMIFS('Expense Log'!$K$5:$K$604,'Expense Log'!$F$5:$F$604,$A7,'Expense Log'!$H$5:$H$604,L$4))</f>
        <v>0</v>
      </c>
      <c r="M7" s="114" t="n">
        <f aca="false">IF($A7="","",SUMIFS('Expense Log'!$K$5:$K$604,'Expense Log'!$F$5:$F$604,$A7,'Expense Log'!$H$5:$H$604,M$4))</f>
        <v>0</v>
      </c>
      <c r="N7" s="114" t="n">
        <f aca="false">IF($A7="","",SUMIFS('Expense Log'!$K$5:$K$604,'Expense Log'!$F$5:$F$604,$A7,'Expense Log'!$H$5:$H$604,N$4))</f>
        <v>0</v>
      </c>
      <c r="O7" s="114" t="n">
        <f aca="false">IF($A7="","",SUMIFS('Expense Log'!$K$5:$K$604,'Expense Log'!$F$5:$F$604,$A7,'Expense Log'!$H$5:$H$604,O$4))</f>
        <v>0</v>
      </c>
      <c r="P7" s="114" t="n">
        <f aca="false">IF($A7="","",SUMIFS('Expense Log'!$K$5:$K$604,'Expense Log'!$F$5:$F$604,$A7,'Expense Log'!$H$5:$H$604,P$4))</f>
        <v>0</v>
      </c>
      <c r="Q7" s="114" t="n">
        <f aca="false">IF($A7="","",SUMIFS('Expense Log'!$K$5:$K$604,'Expense Log'!$F$5:$F$604,$A7,'Expense Log'!$H$5:$H$604,Q$4))</f>
        <v>0</v>
      </c>
      <c r="R7" s="114" t="n">
        <f aca="false">IF($A7="","",SUMIFS('Expense Log'!$K$5:$K$604,'Expense Log'!$F$5:$F$604,$A7,'Expense Log'!$H$5:$H$604,R$4))</f>
        <v>0</v>
      </c>
      <c r="S7" s="114" t="n">
        <f aca="false">IF($A7="","",SUMIFS('Expense Log'!$K$5:$K$604,'Expense Log'!$F$5:$F$604,$A7,'Expense Log'!$H$5:$H$604,S$4))</f>
        <v>0</v>
      </c>
      <c r="T7" s="114" t="n">
        <f aca="false">IF($A7="","",SUMIFS('Expense Log'!$K$5:$K$604,'Expense Log'!$F$5:$F$604,$A7,'Expense Log'!$H$5:$H$604,T$4))</f>
        <v>0</v>
      </c>
      <c r="U7" s="114" t="n">
        <f aca="false">IF($A7="","",SUMIFS('Expense Log'!$K$5:$K$604,'Expense Log'!$F$5:$F$604,$A7,'Expense Log'!$H$5:$H$604,U$4))</f>
        <v>0</v>
      </c>
      <c r="V7" s="114" t="n">
        <f aca="false">IF($A7="","",SUMIFS('Expense Log'!$K$5:$K$604,'Expense Log'!$F$5:$F$604,$A7,'Expense Log'!$H$5:$H$604,V$4))</f>
        <v>0</v>
      </c>
      <c r="W7" s="114" t="n">
        <f aca="false">IF($A7="","",SUMIFS('Expense Log'!$K$5:$K$604,'Expense Log'!$F$5:$F$604,$A7,'Expense Log'!$H$5:$H$604,W$4))</f>
        <v>0</v>
      </c>
      <c r="X7" s="114" t="n">
        <f aca="false">IF($A7="","",SUMIFS('Expense Log'!$K$5:$K$604,'Expense Log'!$F$5:$F$604,$A7,'Expense Log'!$H$5:$H$604,X$4))</f>
        <v>0</v>
      </c>
      <c r="Y7" s="114" t="n">
        <f aca="false">IF($A7="","",SUMIFS('Expense Log'!$K$5:$K$604,'Expense Log'!$F$5:$F$604,$A7,'Expense Log'!$H$5:$H$604,Y$4))</f>
        <v>0</v>
      </c>
    </row>
    <row r="8" customFormat="false" ht="15" hidden="false" customHeight="false" outlineLevel="0" collapsed="false">
      <c r="A8" s="154" t="str">
        <f aca="false">IF(Budget!A8="","",Budget!A8)</f>
        <v>Electric</v>
      </c>
      <c r="B8" s="114" t="n">
        <f aca="false">IF(A8="","",Budget!K8)</f>
        <v>0</v>
      </c>
      <c r="C8" s="114" t="n">
        <f aca="false">IF(A8="","",SUMIFS('Expense Log'!$K$5:$K$604,'Expense Log'!$F$5:$F$604,A8,'Expense Log'!$H$5:$H$604,$B$3))</f>
        <v>0</v>
      </c>
      <c r="D8" s="147" t="n">
        <f aca="false">IF(A8="","",C8-B8)</f>
        <v>0</v>
      </c>
      <c r="F8" s="114" t="n">
        <f aca="false">IF($A8="","",SUMIFS('Expense Log'!$K$5:$K$604,'Expense Log'!$F$5:$F$604,$A8,'Expense Log'!$H$5:$H$604,F$4))</f>
        <v>0</v>
      </c>
      <c r="G8" s="114" t="n">
        <f aca="false">IF($A8="","",SUMIFS('Expense Log'!$K$5:$K$604,'Expense Log'!$F$5:$F$604,$A8,'Expense Log'!$H$5:$H$604,G$4))</f>
        <v>0</v>
      </c>
      <c r="H8" s="114" t="n">
        <f aca="false">IF($A8="","",SUMIFS('Expense Log'!$K$5:$K$604,'Expense Log'!$F$5:$F$604,$A8,'Expense Log'!$H$5:$H$604,H$4))</f>
        <v>0</v>
      </c>
      <c r="I8" s="114" t="n">
        <f aca="false">IF($A8="","",SUMIFS('Expense Log'!$K$5:$K$604,'Expense Log'!$F$5:$F$604,$A8,'Expense Log'!$H$5:$H$604,I$4))</f>
        <v>0</v>
      </c>
      <c r="J8" s="114" t="n">
        <f aca="false">IF($A8="","",SUMIFS('Expense Log'!$K$5:$K$604,'Expense Log'!$F$5:$F$604,$A8,'Expense Log'!$H$5:$H$604,J$4))</f>
        <v>0</v>
      </c>
      <c r="K8" s="114" t="n">
        <f aca="false">IF($A8="","",SUMIFS('Expense Log'!$K$5:$K$604,'Expense Log'!$F$5:$F$604,$A8,'Expense Log'!$H$5:$H$604,K$4))</f>
        <v>0</v>
      </c>
      <c r="L8" s="114" t="n">
        <f aca="false">IF($A8="","",SUMIFS('Expense Log'!$K$5:$K$604,'Expense Log'!$F$5:$F$604,$A8,'Expense Log'!$H$5:$H$604,L$4))</f>
        <v>0</v>
      </c>
      <c r="M8" s="114" t="n">
        <f aca="false">IF($A8="","",SUMIFS('Expense Log'!$K$5:$K$604,'Expense Log'!$F$5:$F$604,$A8,'Expense Log'!$H$5:$H$604,M$4))</f>
        <v>0</v>
      </c>
      <c r="N8" s="114" t="n">
        <f aca="false">IF($A8="","",SUMIFS('Expense Log'!$K$5:$K$604,'Expense Log'!$F$5:$F$604,$A8,'Expense Log'!$H$5:$H$604,N$4))</f>
        <v>0</v>
      </c>
      <c r="O8" s="114" t="n">
        <f aca="false">IF($A8="","",SUMIFS('Expense Log'!$K$5:$K$604,'Expense Log'!$F$5:$F$604,$A8,'Expense Log'!$H$5:$H$604,O$4))</f>
        <v>0</v>
      </c>
      <c r="P8" s="114" t="n">
        <f aca="false">IF($A8="","",SUMIFS('Expense Log'!$K$5:$K$604,'Expense Log'!$F$5:$F$604,$A8,'Expense Log'!$H$5:$H$604,P$4))</f>
        <v>0</v>
      </c>
      <c r="Q8" s="114" t="n">
        <f aca="false">IF($A8="","",SUMIFS('Expense Log'!$K$5:$K$604,'Expense Log'!$F$5:$F$604,$A8,'Expense Log'!$H$5:$H$604,Q$4))</f>
        <v>0</v>
      </c>
      <c r="R8" s="114" t="n">
        <f aca="false">IF($A8="","",SUMIFS('Expense Log'!$K$5:$K$604,'Expense Log'!$F$5:$F$604,$A8,'Expense Log'!$H$5:$H$604,R$4))</f>
        <v>0</v>
      </c>
      <c r="S8" s="114" t="n">
        <f aca="false">IF($A8="","",SUMIFS('Expense Log'!$K$5:$K$604,'Expense Log'!$F$5:$F$604,$A8,'Expense Log'!$H$5:$H$604,S$4))</f>
        <v>0</v>
      </c>
      <c r="T8" s="114" t="n">
        <f aca="false">IF($A8="","",SUMIFS('Expense Log'!$K$5:$K$604,'Expense Log'!$F$5:$F$604,$A8,'Expense Log'!$H$5:$H$604,T$4))</f>
        <v>0</v>
      </c>
      <c r="U8" s="114" t="n">
        <f aca="false">IF($A8="","",SUMIFS('Expense Log'!$K$5:$K$604,'Expense Log'!$F$5:$F$604,$A8,'Expense Log'!$H$5:$H$604,U$4))</f>
        <v>0</v>
      </c>
      <c r="V8" s="114" t="n">
        <f aca="false">IF($A8="","",SUMIFS('Expense Log'!$K$5:$K$604,'Expense Log'!$F$5:$F$604,$A8,'Expense Log'!$H$5:$H$604,V$4))</f>
        <v>0</v>
      </c>
      <c r="W8" s="114" t="n">
        <f aca="false">IF($A8="","",SUMIFS('Expense Log'!$K$5:$K$604,'Expense Log'!$F$5:$F$604,$A8,'Expense Log'!$H$5:$H$604,W$4))</f>
        <v>0</v>
      </c>
      <c r="X8" s="114" t="n">
        <f aca="false">IF($A8="","",SUMIFS('Expense Log'!$K$5:$K$604,'Expense Log'!$F$5:$F$604,$A8,'Expense Log'!$H$5:$H$604,X$4))</f>
        <v>0</v>
      </c>
      <c r="Y8" s="114" t="n">
        <f aca="false">IF($A8="","",SUMIFS('Expense Log'!$K$5:$K$604,'Expense Log'!$F$5:$F$604,$A8,'Expense Log'!$H$5:$H$604,Y$4))</f>
        <v>0</v>
      </c>
    </row>
    <row r="9" customFormat="false" ht="15" hidden="false" customHeight="false" outlineLevel="0" collapsed="false">
      <c r="A9" s="154" t="str">
        <f aca="false">IF(Budget!A9="","",Budget!A9)</f>
        <v>Gas / heating oil</v>
      </c>
      <c r="B9" s="114" t="n">
        <f aca="false">IF(A9="","",Budget!K9)</f>
        <v>0</v>
      </c>
      <c r="C9" s="114" t="n">
        <f aca="false">IF(A9="","",SUMIFS('Expense Log'!$K$5:$K$604,'Expense Log'!$F$5:$F$604,A9,'Expense Log'!$H$5:$H$604,$B$3))</f>
        <v>0</v>
      </c>
      <c r="D9" s="147" t="n">
        <f aca="false">IF(A9="","",C9-B9)</f>
        <v>0</v>
      </c>
      <c r="F9" s="114" t="n">
        <f aca="false">IF($A9="","",SUMIFS('Expense Log'!$K$5:$K$604,'Expense Log'!$F$5:$F$604,$A9,'Expense Log'!$H$5:$H$604,F$4))</f>
        <v>0</v>
      </c>
      <c r="G9" s="114" t="n">
        <f aca="false">IF($A9="","",SUMIFS('Expense Log'!$K$5:$K$604,'Expense Log'!$F$5:$F$604,$A9,'Expense Log'!$H$5:$H$604,G$4))</f>
        <v>0</v>
      </c>
      <c r="H9" s="114" t="n">
        <f aca="false">IF($A9="","",SUMIFS('Expense Log'!$K$5:$K$604,'Expense Log'!$F$5:$F$604,$A9,'Expense Log'!$H$5:$H$604,H$4))</f>
        <v>0</v>
      </c>
      <c r="I9" s="114" t="n">
        <f aca="false">IF($A9="","",SUMIFS('Expense Log'!$K$5:$K$604,'Expense Log'!$F$5:$F$604,$A9,'Expense Log'!$H$5:$H$604,I$4))</f>
        <v>0</v>
      </c>
      <c r="J9" s="114" t="n">
        <f aca="false">IF($A9="","",SUMIFS('Expense Log'!$K$5:$K$604,'Expense Log'!$F$5:$F$604,$A9,'Expense Log'!$H$5:$H$604,J$4))</f>
        <v>0</v>
      </c>
      <c r="K9" s="114" t="n">
        <f aca="false">IF($A9="","",SUMIFS('Expense Log'!$K$5:$K$604,'Expense Log'!$F$5:$F$604,$A9,'Expense Log'!$H$5:$H$604,K$4))</f>
        <v>0</v>
      </c>
      <c r="L9" s="114" t="n">
        <f aca="false">IF($A9="","",SUMIFS('Expense Log'!$K$5:$K$604,'Expense Log'!$F$5:$F$604,$A9,'Expense Log'!$H$5:$H$604,L$4))</f>
        <v>0</v>
      </c>
      <c r="M9" s="114" t="n">
        <f aca="false">IF($A9="","",SUMIFS('Expense Log'!$K$5:$K$604,'Expense Log'!$F$5:$F$604,$A9,'Expense Log'!$H$5:$H$604,M$4))</f>
        <v>0</v>
      </c>
      <c r="N9" s="114" t="n">
        <f aca="false">IF($A9="","",SUMIFS('Expense Log'!$K$5:$K$604,'Expense Log'!$F$5:$F$604,$A9,'Expense Log'!$H$5:$H$604,N$4))</f>
        <v>0</v>
      </c>
      <c r="O9" s="114" t="n">
        <f aca="false">IF($A9="","",SUMIFS('Expense Log'!$K$5:$K$604,'Expense Log'!$F$5:$F$604,$A9,'Expense Log'!$H$5:$H$604,O$4))</f>
        <v>0</v>
      </c>
      <c r="P9" s="114" t="n">
        <f aca="false">IF($A9="","",SUMIFS('Expense Log'!$K$5:$K$604,'Expense Log'!$F$5:$F$604,$A9,'Expense Log'!$H$5:$H$604,P$4))</f>
        <v>0</v>
      </c>
      <c r="Q9" s="114" t="n">
        <f aca="false">IF($A9="","",SUMIFS('Expense Log'!$K$5:$K$604,'Expense Log'!$F$5:$F$604,$A9,'Expense Log'!$H$5:$H$604,Q$4))</f>
        <v>0</v>
      </c>
      <c r="R9" s="114" t="n">
        <f aca="false">IF($A9="","",SUMIFS('Expense Log'!$K$5:$K$604,'Expense Log'!$F$5:$F$604,$A9,'Expense Log'!$H$5:$H$604,R$4))</f>
        <v>0</v>
      </c>
      <c r="S9" s="114" t="n">
        <f aca="false">IF($A9="","",SUMIFS('Expense Log'!$K$5:$K$604,'Expense Log'!$F$5:$F$604,$A9,'Expense Log'!$H$5:$H$604,S$4))</f>
        <v>0</v>
      </c>
      <c r="T9" s="114" t="n">
        <f aca="false">IF($A9="","",SUMIFS('Expense Log'!$K$5:$K$604,'Expense Log'!$F$5:$F$604,$A9,'Expense Log'!$H$5:$H$604,T$4))</f>
        <v>0</v>
      </c>
      <c r="U9" s="114" t="n">
        <f aca="false">IF($A9="","",SUMIFS('Expense Log'!$K$5:$K$604,'Expense Log'!$F$5:$F$604,$A9,'Expense Log'!$H$5:$H$604,U$4))</f>
        <v>0</v>
      </c>
      <c r="V9" s="114" t="n">
        <f aca="false">IF($A9="","",SUMIFS('Expense Log'!$K$5:$K$604,'Expense Log'!$F$5:$F$604,$A9,'Expense Log'!$H$5:$H$604,V$4))</f>
        <v>0</v>
      </c>
      <c r="W9" s="114" t="n">
        <f aca="false">IF($A9="","",SUMIFS('Expense Log'!$K$5:$K$604,'Expense Log'!$F$5:$F$604,$A9,'Expense Log'!$H$5:$H$604,W$4))</f>
        <v>0</v>
      </c>
      <c r="X9" s="114" t="n">
        <f aca="false">IF($A9="","",SUMIFS('Expense Log'!$K$5:$K$604,'Expense Log'!$F$5:$F$604,$A9,'Expense Log'!$H$5:$H$604,X$4))</f>
        <v>0</v>
      </c>
      <c r="Y9" s="114" t="n">
        <f aca="false">IF($A9="","",SUMIFS('Expense Log'!$K$5:$K$604,'Expense Log'!$F$5:$F$604,$A9,'Expense Log'!$H$5:$H$604,Y$4))</f>
        <v>0</v>
      </c>
    </row>
    <row r="10" customFormat="false" ht="15" hidden="false" customHeight="false" outlineLevel="0" collapsed="false">
      <c r="A10" s="154" t="str">
        <f aca="false">IF(Budget!A10="","",Budget!A10)</f>
        <v>Water / sewer</v>
      </c>
      <c r="B10" s="114" t="n">
        <f aca="false">IF(A10="","",Budget!K10)</f>
        <v>0</v>
      </c>
      <c r="C10" s="114" t="n">
        <f aca="false">IF(A10="","",SUMIFS('Expense Log'!$K$5:$K$604,'Expense Log'!$F$5:$F$604,A10,'Expense Log'!$H$5:$H$604,$B$3))</f>
        <v>0</v>
      </c>
      <c r="D10" s="147" t="n">
        <f aca="false">IF(A10="","",C10-B10)</f>
        <v>0</v>
      </c>
      <c r="F10" s="114" t="n">
        <f aca="false">IF($A10="","",SUMIFS('Expense Log'!$K$5:$K$604,'Expense Log'!$F$5:$F$604,$A10,'Expense Log'!$H$5:$H$604,F$4))</f>
        <v>0</v>
      </c>
      <c r="G10" s="114" t="n">
        <f aca="false">IF($A10="","",SUMIFS('Expense Log'!$K$5:$K$604,'Expense Log'!$F$5:$F$604,$A10,'Expense Log'!$H$5:$H$604,G$4))</f>
        <v>0</v>
      </c>
      <c r="H10" s="114" t="n">
        <f aca="false">IF($A10="","",SUMIFS('Expense Log'!$K$5:$K$604,'Expense Log'!$F$5:$F$604,$A10,'Expense Log'!$H$5:$H$604,H$4))</f>
        <v>0</v>
      </c>
      <c r="I10" s="114" t="n">
        <f aca="false">IF($A10="","",SUMIFS('Expense Log'!$K$5:$K$604,'Expense Log'!$F$5:$F$604,$A10,'Expense Log'!$H$5:$H$604,I$4))</f>
        <v>0</v>
      </c>
      <c r="J10" s="114" t="n">
        <f aca="false">IF($A10="","",SUMIFS('Expense Log'!$K$5:$K$604,'Expense Log'!$F$5:$F$604,$A10,'Expense Log'!$H$5:$H$604,J$4))</f>
        <v>0</v>
      </c>
      <c r="K10" s="114" t="n">
        <f aca="false">IF($A10="","",SUMIFS('Expense Log'!$K$5:$K$604,'Expense Log'!$F$5:$F$604,$A10,'Expense Log'!$H$5:$H$604,K$4))</f>
        <v>0</v>
      </c>
      <c r="L10" s="114" t="n">
        <f aca="false">IF($A10="","",SUMIFS('Expense Log'!$K$5:$K$604,'Expense Log'!$F$5:$F$604,$A10,'Expense Log'!$H$5:$H$604,L$4))</f>
        <v>0</v>
      </c>
      <c r="M10" s="114" t="n">
        <f aca="false">IF($A10="","",SUMIFS('Expense Log'!$K$5:$K$604,'Expense Log'!$F$5:$F$604,$A10,'Expense Log'!$H$5:$H$604,M$4))</f>
        <v>0</v>
      </c>
      <c r="N10" s="114" t="n">
        <f aca="false">IF($A10="","",SUMIFS('Expense Log'!$K$5:$K$604,'Expense Log'!$F$5:$F$604,$A10,'Expense Log'!$H$5:$H$604,N$4))</f>
        <v>0</v>
      </c>
      <c r="O10" s="114" t="n">
        <f aca="false">IF($A10="","",SUMIFS('Expense Log'!$K$5:$K$604,'Expense Log'!$F$5:$F$604,$A10,'Expense Log'!$H$5:$H$604,O$4))</f>
        <v>0</v>
      </c>
      <c r="P10" s="114" t="n">
        <f aca="false">IF($A10="","",SUMIFS('Expense Log'!$K$5:$K$604,'Expense Log'!$F$5:$F$604,$A10,'Expense Log'!$H$5:$H$604,P$4))</f>
        <v>0</v>
      </c>
      <c r="Q10" s="114" t="n">
        <f aca="false">IF($A10="","",SUMIFS('Expense Log'!$K$5:$K$604,'Expense Log'!$F$5:$F$604,$A10,'Expense Log'!$H$5:$H$604,Q$4))</f>
        <v>0</v>
      </c>
      <c r="R10" s="114" t="n">
        <f aca="false">IF($A10="","",SUMIFS('Expense Log'!$K$5:$K$604,'Expense Log'!$F$5:$F$604,$A10,'Expense Log'!$H$5:$H$604,R$4))</f>
        <v>0</v>
      </c>
      <c r="S10" s="114" t="n">
        <f aca="false">IF($A10="","",SUMIFS('Expense Log'!$K$5:$K$604,'Expense Log'!$F$5:$F$604,$A10,'Expense Log'!$H$5:$H$604,S$4))</f>
        <v>0</v>
      </c>
      <c r="T10" s="114" t="n">
        <f aca="false">IF($A10="","",SUMIFS('Expense Log'!$K$5:$K$604,'Expense Log'!$F$5:$F$604,$A10,'Expense Log'!$H$5:$H$604,T$4))</f>
        <v>0</v>
      </c>
      <c r="U10" s="114" t="n">
        <f aca="false">IF($A10="","",SUMIFS('Expense Log'!$K$5:$K$604,'Expense Log'!$F$5:$F$604,$A10,'Expense Log'!$H$5:$H$604,U$4))</f>
        <v>0</v>
      </c>
      <c r="V10" s="114" t="n">
        <f aca="false">IF($A10="","",SUMIFS('Expense Log'!$K$5:$K$604,'Expense Log'!$F$5:$F$604,$A10,'Expense Log'!$H$5:$H$604,V$4))</f>
        <v>0</v>
      </c>
      <c r="W10" s="114" t="n">
        <f aca="false">IF($A10="","",SUMIFS('Expense Log'!$K$5:$K$604,'Expense Log'!$F$5:$F$604,$A10,'Expense Log'!$H$5:$H$604,W$4))</f>
        <v>0</v>
      </c>
      <c r="X10" s="114" t="n">
        <f aca="false">IF($A10="","",SUMIFS('Expense Log'!$K$5:$K$604,'Expense Log'!$F$5:$F$604,$A10,'Expense Log'!$H$5:$H$604,X$4))</f>
        <v>0</v>
      </c>
      <c r="Y10" s="114" t="n">
        <f aca="false">IF($A10="","",SUMIFS('Expense Log'!$K$5:$K$604,'Expense Log'!$F$5:$F$604,$A10,'Expense Log'!$H$5:$H$604,Y$4))</f>
        <v>0</v>
      </c>
    </row>
    <row r="11" customFormat="false" ht="15" hidden="false" customHeight="false" outlineLevel="0" collapsed="false">
      <c r="A11" s="154" t="str">
        <f aca="false">IF(Budget!A11="","",Budget!A11)</f>
        <v>Trash / recycling</v>
      </c>
      <c r="B11" s="114" t="n">
        <f aca="false">IF(A11="","",Budget!K11)</f>
        <v>0</v>
      </c>
      <c r="C11" s="114" t="n">
        <f aca="false">IF(A11="","",SUMIFS('Expense Log'!$K$5:$K$604,'Expense Log'!$F$5:$F$604,A11,'Expense Log'!$H$5:$H$604,$B$3))</f>
        <v>0</v>
      </c>
      <c r="D11" s="147" t="n">
        <f aca="false">IF(A11="","",C11-B11)</f>
        <v>0</v>
      </c>
      <c r="F11" s="114" t="n">
        <f aca="false">IF($A11="","",SUMIFS('Expense Log'!$K$5:$K$604,'Expense Log'!$F$5:$F$604,$A11,'Expense Log'!$H$5:$H$604,F$4))</f>
        <v>0</v>
      </c>
      <c r="G11" s="114" t="n">
        <f aca="false">IF($A11="","",SUMIFS('Expense Log'!$K$5:$K$604,'Expense Log'!$F$5:$F$604,$A11,'Expense Log'!$H$5:$H$604,G$4))</f>
        <v>0</v>
      </c>
      <c r="H11" s="114" t="n">
        <f aca="false">IF($A11="","",SUMIFS('Expense Log'!$K$5:$K$604,'Expense Log'!$F$5:$F$604,$A11,'Expense Log'!$H$5:$H$604,H$4))</f>
        <v>0</v>
      </c>
      <c r="I11" s="114" t="n">
        <f aca="false">IF($A11="","",SUMIFS('Expense Log'!$K$5:$K$604,'Expense Log'!$F$5:$F$604,$A11,'Expense Log'!$H$5:$H$604,I$4))</f>
        <v>0</v>
      </c>
      <c r="J11" s="114" t="n">
        <f aca="false">IF($A11="","",SUMIFS('Expense Log'!$K$5:$K$604,'Expense Log'!$F$5:$F$604,$A11,'Expense Log'!$H$5:$H$604,J$4))</f>
        <v>0</v>
      </c>
      <c r="K11" s="114" t="n">
        <f aca="false">IF($A11="","",SUMIFS('Expense Log'!$K$5:$K$604,'Expense Log'!$F$5:$F$604,$A11,'Expense Log'!$H$5:$H$604,K$4))</f>
        <v>0</v>
      </c>
      <c r="L11" s="114" t="n">
        <f aca="false">IF($A11="","",SUMIFS('Expense Log'!$K$5:$K$604,'Expense Log'!$F$5:$F$604,$A11,'Expense Log'!$H$5:$H$604,L$4))</f>
        <v>0</v>
      </c>
      <c r="M11" s="114" t="n">
        <f aca="false">IF($A11="","",SUMIFS('Expense Log'!$K$5:$K$604,'Expense Log'!$F$5:$F$604,$A11,'Expense Log'!$H$5:$H$604,M$4))</f>
        <v>0</v>
      </c>
      <c r="N11" s="114" t="n">
        <f aca="false">IF($A11="","",SUMIFS('Expense Log'!$K$5:$K$604,'Expense Log'!$F$5:$F$604,$A11,'Expense Log'!$H$5:$H$604,N$4))</f>
        <v>0</v>
      </c>
      <c r="O11" s="114" t="n">
        <f aca="false">IF($A11="","",SUMIFS('Expense Log'!$K$5:$K$604,'Expense Log'!$F$5:$F$604,$A11,'Expense Log'!$H$5:$H$604,O$4))</f>
        <v>0</v>
      </c>
      <c r="P11" s="114" t="n">
        <f aca="false">IF($A11="","",SUMIFS('Expense Log'!$K$5:$K$604,'Expense Log'!$F$5:$F$604,$A11,'Expense Log'!$H$5:$H$604,P$4))</f>
        <v>0</v>
      </c>
      <c r="Q11" s="114" t="n">
        <f aca="false">IF($A11="","",SUMIFS('Expense Log'!$K$5:$K$604,'Expense Log'!$F$5:$F$604,$A11,'Expense Log'!$H$5:$H$604,Q$4))</f>
        <v>0</v>
      </c>
      <c r="R11" s="114" t="n">
        <f aca="false">IF($A11="","",SUMIFS('Expense Log'!$K$5:$K$604,'Expense Log'!$F$5:$F$604,$A11,'Expense Log'!$H$5:$H$604,R$4))</f>
        <v>0</v>
      </c>
      <c r="S11" s="114" t="n">
        <f aca="false">IF($A11="","",SUMIFS('Expense Log'!$K$5:$K$604,'Expense Log'!$F$5:$F$604,$A11,'Expense Log'!$H$5:$H$604,S$4))</f>
        <v>0</v>
      </c>
      <c r="T11" s="114" t="n">
        <f aca="false">IF($A11="","",SUMIFS('Expense Log'!$K$5:$K$604,'Expense Log'!$F$5:$F$604,$A11,'Expense Log'!$H$5:$H$604,T$4))</f>
        <v>0</v>
      </c>
      <c r="U11" s="114" t="n">
        <f aca="false">IF($A11="","",SUMIFS('Expense Log'!$K$5:$K$604,'Expense Log'!$F$5:$F$604,$A11,'Expense Log'!$H$5:$H$604,U$4))</f>
        <v>0</v>
      </c>
      <c r="V11" s="114" t="n">
        <f aca="false">IF($A11="","",SUMIFS('Expense Log'!$K$5:$K$604,'Expense Log'!$F$5:$F$604,$A11,'Expense Log'!$H$5:$H$604,V$4))</f>
        <v>0</v>
      </c>
      <c r="W11" s="114" t="n">
        <f aca="false">IF($A11="","",SUMIFS('Expense Log'!$K$5:$K$604,'Expense Log'!$F$5:$F$604,$A11,'Expense Log'!$H$5:$H$604,W$4))</f>
        <v>0</v>
      </c>
      <c r="X11" s="114" t="n">
        <f aca="false">IF($A11="","",SUMIFS('Expense Log'!$K$5:$K$604,'Expense Log'!$F$5:$F$604,$A11,'Expense Log'!$H$5:$H$604,X$4))</f>
        <v>0</v>
      </c>
      <c r="Y11" s="114" t="n">
        <f aca="false">IF($A11="","",SUMIFS('Expense Log'!$K$5:$K$604,'Expense Log'!$F$5:$F$604,$A11,'Expense Log'!$H$5:$H$604,Y$4))</f>
        <v>0</v>
      </c>
    </row>
    <row r="12" customFormat="false" ht="15" hidden="false" customHeight="false" outlineLevel="0" collapsed="false">
      <c r="A12" s="154" t="str">
        <f aca="false">IF(Budget!A12="","",Budget!A12)</f>
        <v>Internet</v>
      </c>
      <c r="B12" s="114" t="n">
        <f aca="false">IF(A12="","",Budget!K12)</f>
        <v>0</v>
      </c>
      <c r="C12" s="114" t="n">
        <f aca="false">IF(A12="","",SUMIFS('Expense Log'!$K$5:$K$604,'Expense Log'!$F$5:$F$604,A12,'Expense Log'!$H$5:$H$604,$B$3))</f>
        <v>0</v>
      </c>
      <c r="D12" s="147" t="n">
        <f aca="false">IF(A12="","",C12-B12)</f>
        <v>0</v>
      </c>
      <c r="F12" s="114" t="n">
        <f aca="false">IF($A12="","",SUMIFS('Expense Log'!$K$5:$K$604,'Expense Log'!$F$5:$F$604,$A12,'Expense Log'!$H$5:$H$604,F$4))</f>
        <v>0</v>
      </c>
      <c r="G12" s="114" t="n">
        <f aca="false">IF($A12="","",SUMIFS('Expense Log'!$K$5:$K$604,'Expense Log'!$F$5:$F$604,$A12,'Expense Log'!$H$5:$H$604,G$4))</f>
        <v>0</v>
      </c>
      <c r="H12" s="114" t="n">
        <f aca="false">IF($A12="","",SUMIFS('Expense Log'!$K$5:$K$604,'Expense Log'!$F$5:$F$604,$A12,'Expense Log'!$H$5:$H$604,H$4))</f>
        <v>0</v>
      </c>
      <c r="I12" s="114" t="n">
        <f aca="false">IF($A12="","",SUMIFS('Expense Log'!$K$5:$K$604,'Expense Log'!$F$5:$F$604,$A12,'Expense Log'!$H$5:$H$604,I$4))</f>
        <v>0</v>
      </c>
      <c r="J12" s="114" t="n">
        <f aca="false">IF($A12="","",SUMIFS('Expense Log'!$K$5:$K$604,'Expense Log'!$F$5:$F$604,$A12,'Expense Log'!$H$5:$H$604,J$4))</f>
        <v>0</v>
      </c>
      <c r="K12" s="114" t="n">
        <f aca="false">IF($A12="","",SUMIFS('Expense Log'!$K$5:$K$604,'Expense Log'!$F$5:$F$604,$A12,'Expense Log'!$H$5:$H$604,K$4))</f>
        <v>0</v>
      </c>
      <c r="L12" s="114" t="n">
        <f aca="false">IF($A12="","",SUMIFS('Expense Log'!$K$5:$K$604,'Expense Log'!$F$5:$F$604,$A12,'Expense Log'!$H$5:$H$604,L$4))</f>
        <v>0</v>
      </c>
      <c r="M12" s="114" t="n">
        <f aca="false">IF($A12="","",SUMIFS('Expense Log'!$K$5:$K$604,'Expense Log'!$F$5:$F$604,$A12,'Expense Log'!$H$5:$H$604,M$4))</f>
        <v>0</v>
      </c>
      <c r="N12" s="114" t="n">
        <f aca="false">IF($A12="","",SUMIFS('Expense Log'!$K$5:$K$604,'Expense Log'!$F$5:$F$604,$A12,'Expense Log'!$H$5:$H$604,N$4))</f>
        <v>0</v>
      </c>
      <c r="O12" s="114" t="n">
        <f aca="false">IF($A12="","",SUMIFS('Expense Log'!$K$5:$K$604,'Expense Log'!$F$5:$F$604,$A12,'Expense Log'!$H$5:$H$604,O$4))</f>
        <v>0</v>
      </c>
      <c r="P12" s="114" t="n">
        <f aca="false">IF($A12="","",SUMIFS('Expense Log'!$K$5:$K$604,'Expense Log'!$F$5:$F$604,$A12,'Expense Log'!$H$5:$H$604,P$4))</f>
        <v>0</v>
      </c>
      <c r="Q12" s="114" t="n">
        <f aca="false">IF($A12="","",SUMIFS('Expense Log'!$K$5:$K$604,'Expense Log'!$F$5:$F$604,$A12,'Expense Log'!$H$5:$H$604,Q$4))</f>
        <v>0</v>
      </c>
      <c r="R12" s="114" t="n">
        <f aca="false">IF($A12="","",SUMIFS('Expense Log'!$K$5:$K$604,'Expense Log'!$F$5:$F$604,$A12,'Expense Log'!$H$5:$H$604,R$4))</f>
        <v>0</v>
      </c>
      <c r="S12" s="114" t="n">
        <f aca="false">IF($A12="","",SUMIFS('Expense Log'!$K$5:$K$604,'Expense Log'!$F$5:$F$604,$A12,'Expense Log'!$H$5:$H$604,S$4))</f>
        <v>0</v>
      </c>
      <c r="T12" s="114" t="n">
        <f aca="false">IF($A12="","",SUMIFS('Expense Log'!$K$5:$K$604,'Expense Log'!$F$5:$F$604,$A12,'Expense Log'!$H$5:$H$604,T$4))</f>
        <v>0</v>
      </c>
      <c r="U12" s="114" t="n">
        <f aca="false">IF($A12="","",SUMIFS('Expense Log'!$K$5:$K$604,'Expense Log'!$F$5:$F$604,$A12,'Expense Log'!$H$5:$H$604,U$4))</f>
        <v>0</v>
      </c>
      <c r="V12" s="114" t="n">
        <f aca="false">IF($A12="","",SUMIFS('Expense Log'!$K$5:$K$604,'Expense Log'!$F$5:$F$604,$A12,'Expense Log'!$H$5:$H$604,V$4))</f>
        <v>0</v>
      </c>
      <c r="W12" s="114" t="n">
        <f aca="false">IF($A12="","",SUMIFS('Expense Log'!$K$5:$K$604,'Expense Log'!$F$5:$F$604,$A12,'Expense Log'!$H$5:$H$604,W$4))</f>
        <v>0</v>
      </c>
      <c r="X12" s="114" t="n">
        <f aca="false">IF($A12="","",SUMIFS('Expense Log'!$K$5:$K$604,'Expense Log'!$F$5:$F$604,$A12,'Expense Log'!$H$5:$H$604,X$4))</f>
        <v>0</v>
      </c>
      <c r="Y12" s="114" t="n">
        <f aca="false">IF($A12="","",SUMIFS('Expense Log'!$K$5:$K$604,'Expense Log'!$F$5:$F$604,$A12,'Expense Log'!$H$5:$H$604,Y$4))</f>
        <v>0</v>
      </c>
    </row>
    <row r="13" customFormat="false" ht="15" hidden="false" customHeight="false" outlineLevel="0" collapsed="false">
      <c r="A13" s="154" t="str">
        <f aca="false">IF(Budget!A13="","",Budget!A13)</f>
        <v>Cell phones</v>
      </c>
      <c r="B13" s="114" t="n">
        <f aca="false">IF(A13="","",Budget!K13)</f>
        <v>0</v>
      </c>
      <c r="C13" s="114" t="n">
        <f aca="false">IF(A13="","",SUMIFS('Expense Log'!$K$5:$K$604,'Expense Log'!$F$5:$F$604,A13,'Expense Log'!$H$5:$H$604,$B$3))</f>
        <v>0</v>
      </c>
      <c r="D13" s="147" t="n">
        <f aca="false">IF(A13="","",C13-B13)</f>
        <v>0</v>
      </c>
      <c r="F13" s="114" t="n">
        <f aca="false">IF($A13="","",SUMIFS('Expense Log'!$K$5:$K$604,'Expense Log'!$F$5:$F$604,$A13,'Expense Log'!$H$5:$H$604,F$4))</f>
        <v>0</v>
      </c>
      <c r="G13" s="114" t="n">
        <f aca="false">IF($A13="","",SUMIFS('Expense Log'!$K$5:$K$604,'Expense Log'!$F$5:$F$604,$A13,'Expense Log'!$H$5:$H$604,G$4))</f>
        <v>0</v>
      </c>
      <c r="H13" s="114" t="n">
        <f aca="false">IF($A13="","",SUMIFS('Expense Log'!$K$5:$K$604,'Expense Log'!$F$5:$F$604,$A13,'Expense Log'!$H$5:$H$604,H$4))</f>
        <v>0</v>
      </c>
      <c r="I13" s="114" t="n">
        <f aca="false">IF($A13="","",SUMIFS('Expense Log'!$K$5:$K$604,'Expense Log'!$F$5:$F$604,$A13,'Expense Log'!$H$5:$H$604,I$4))</f>
        <v>0</v>
      </c>
      <c r="J13" s="114" t="n">
        <f aca="false">IF($A13="","",SUMIFS('Expense Log'!$K$5:$K$604,'Expense Log'!$F$5:$F$604,$A13,'Expense Log'!$H$5:$H$604,J$4))</f>
        <v>0</v>
      </c>
      <c r="K13" s="114" t="n">
        <f aca="false">IF($A13="","",SUMIFS('Expense Log'!$K$5:$K$604,'Expense Log'!$F$5:$F$604,$A13,'Expense Log'!$H$5:$H$604,K$4))</f>
        <v>0</v>
      </c>
      <c r="L13" s="114" t="n">
        <f aca="false">IF($A13="","",SUMIFS('Expense Log'!$K$5:$K$604,'Expense Log'!$F$5:$F$604,$A13,'Expense Log'!$H$5:$H$604,L$4))</f>
        <v>0</v>
      </c>
      <c r="M13" s="114" t="n">
        <f aca="false">IF($A13="","",SUMIFS('Expense Log'!$K$5:$K$604,'Expense Log'!$F$5:$F$604,$A13,'Expense Log'!$H$5:$H$604,M$4))</f>
        <v>0</v>
      </c>
      <c r="N13" s="114" t="n">
        <f aca="false">IF($A13="","",SUMIFS('Expense Log'!$K$5:$K$604,'Expense Log'!$F$5:$F$604,$A13,'Expense Log'!$H$5:$H$604,N$4))</f>
        <v>0</v>
      </c>
      <c r="O13" s="114" t="n">
        <f aca="false">IF($A13="","",SUMIFS('Expense Log'!$K$5:$K$604,'Expense Log'!$F$5:$F$604,$A13,'Expense Log'!$H$5:$H$604,O$4))</f>
        <v>0</v>
      </c>
      <c r="P13" s="114" t="n">
        <f aca="false">IF($A13="","",SUMIFS('Expense Log'!$K$5:$K$604,'Expense Log'!$F$5:$F$604,$A13,'Expense Log'!$H$5:$H$604,P$4))</f>
        <v>0</v>
      </c>
      <c r="Q13" s="114" t="n">
        <f aca="false">IF($A13="","",SUMIFS('Expense Log'!$K$5:$K$604,'Expense Log'!$F$5:$F$604,$A13,'Expense Log'!$H$5:$H$604,Q$4))</f>
        <v>0</v>
      </c>
      <c r="R13" s="114" t="n">
        <f aca="false">IF($A13="","",SUMIFS('Expense Log'!$K$5:$K$604,'Expense Log'!$F$5:$F$604,$A13,'Expense Log'!$H$5:$H$604,R$4))</f>
        <v>0</v>
      </c>
      <c r="S13" s="114" t="n">
        <f aca="false">IF($A13="","",SUMIFS('Expense Log'!$K$5:$K$604,'Expense Log'!$F$5:$F$604,$A13,'Expense Log'!$H$5:$H$604,S$4))</f>
        <v>0</v>
      </c>
      <c r="T13" s="114" t="n">
        <f aca="false">IF($A13="","",SUMIFS('Expense Log'!$K$5:$K$604,'Expense Log'!$F$5:$F$604,$A13,'Expense Log'!$H$5:$H$604,T$4))</f>
        <v>0</v>
      </c>
      <c r="U13" s="114" t="n">
        <f aca="false">IF($A13="","",SUMIFS('Expense Log'!$K$5:$K$604,'Expense Log'!$F$5:$F$604,$A13,'Expense Log'!$H$5:$H$604,U$4))</f>
        <v>0</v>
      </c>
      <c r="V13" s="114" t="n">
        <f aca="false">IF($A13="","",SUMIFS('Expense Log'!$K$5:$K$604,'Expense Log'!$F$5:$F$604,$A13,'Expense Log'!$H$5:$H$604,V$4))</f>
        <v>0</v>
      </c>
      <c r="W13" s="114" t="n">
        <f aca="false">IF($A13="","",SUMIFS('Expense Log'!$K$5:$K$604,'Expense Log'!$F$5:$F$604,$A13,'Expense Log'!$H$5:$H$604,W$4))</f>
        <v>0</v>
      </c>
      <c r="X13" s="114" t="n">
        <f aca="false">IF($A13="","",SUMIFS('Expense Log'!$K$5:$K$604,'Expense Log'!$F$5:$F$604,$A13,'Expense Log'!$H$5:$H$604,X$4))</f>
        <v>0</v>
      </c>
      <c r="Y13" s="114" t="n">
        <f aca="false">IF($A13="","",SUMIFS('Expense Log'!$K$5:$K$604,'Expense Log'!$F$5:$F$604,$A13,'Expense Log'!$H$5:$H$604,Y$4))</f>
        <v>0</v>
      </c>
    </row>
    <row r="14" customFormat="false" ht="15" hidden="false" customHeight="false" outlineLevel="0" collapsed="false">
      <c r="A14" s="154" t="str">
        <f aca="false">IF(Budget!A14="","",Budget!A14)</f>
        <v>Streaming (Netflix, Spotify…)</v>
      </c>
      <c r="B14" s="114" t="n">
        <f aca="false">IF(A14="","",Budget!K14)</f>
        <v>0</v>
      </c>
      <c r="C14" s="114" t="n">
        <f aca="false">IF(A14="","",SUMIFS('Expense Log'!$K$5:$K$604,'Expense Log'!$F$5:$F$604,A14,'Expense Log'!$H$5:$H$604,$B$3))</f>
        <v>0</v>
      </c>
      <c r="D14" s="147" t="n">
        <f aca="false">IF(A14="","",C14-B14)</f>
        <v>0</v>
      </c>
      <c r="F14" s="114" t="n">
        <f aca="false">IF($A14="","",SUMIFS('Expense Log'!$K$5:$K$604,'Expense Log'!$F$5:$F$604,$A14,'Expense Log'!$H$5:$H$604,F$4))</f>
        <v>0</v>
      </c>
      <c r="G14" s="114" t="n">
        <f aca="false">IF($A14="","",SUMIFS('Expense Log'!$K$5:$K$604,'Expense Log'!$F$5:$F$604,$A14,'Expense Log'!$H$5:$H$604,G$4))</f>
        <v>0</v>
      </c>
      <c r="H14" s="114" t="n">
        <f aca="false">IF($A14="","",SUMIFS('Expense Log'!$K$5:$K$604,'Expense Log'!$F$5:$F$604,$A14,'Expense Log'!$H$5:$H$604,H$4))</f>
        <v>0</v>
      </c>
      <c r="I14" s="114" t="n">
        <f aca="false">IF($A14="","",SUMIFS('Expense Log'!$K$5:$K$604,'Expense Log'!$F$5:$F$604,$A14,'Expense Log'!$H$5:$H$604,I$4))</f>
        <v>0</v>
      </c>
      <c r="J14" s="114" t="n">
        <f aca="false">IF($A14="","",SUMIFS('Expense Log'!$K$5:$K$604,'Expense Log'!$F$5:$F$604,$A14,'Expense Log'!$H$5:$H$604,J$4))</f>
        <v>0</v>
      </c>
      <c r="K14" s="114" t="n">
        <f aca="false">IF($A14="","",SUMIFS('Expense Log'!$K$5:$K$604,'Expense Log'!$F$5:$F$604,$A14,'Expense Log'!$H$5:$H$604,K$4))</f>
        <v>0</v>
      </c>
      <c r="L14" s="114" t="n">
        <f aca="false">IF($A14="","",SUMIFS('Expense Log'!$K$5:$K$604,'Expense Log'!$F$5:$F$604,$A14,'Expense Log'!$H$5:$H$604,L$4))</f>
        <v>0</v>
      </c>
      <c r="M14" s="114" t="n">
        <f aca="false">IF($A14="","",SUMIFS('Expense Log'!$K$5:$K$604,'Expense Log'!$F$5:$F$604,$A14,'Expense Log'!$H$5:$H$604,M$4))</f>
        <v>0</v>
      </c>
      <c r="N14" s="114" t="n">
        <f aca="false">IF($A14="","",SUMIFS('Expense Log'!$K$5:$K$604,'Expense Log'!$F$5:$F$604,$A14,'Expense Log'!$H$5:$H$604,N$4))</f>
        <v>0</v>
      </c>
      <c r="O14" s="114" t="n">
        <f aca="false">IF($A14="","",SUMIFS('Expense Log'!$K$5:$K$604,'Expense Log'!$F$5:$F$604,$A14,'Expense Log'!$H$5:$H$604,O$4))</f>
        <v>0</v>
      </c>
      <c r="P14" s="114" t="n">
        <f aca="false">IF($A14="","",SUMIFS('Expense Log'!$K$5:$K$604,'Expense Log'!$F$5:$F$604,$A14,'Expense Log'!$H$5:$H$604,P$4))</f>
        <v>0</v>
      </c>
      <c r="Q14" s="114" t="n">
        <f aca="false">IF($A14="","",SUMIFS('Expense Log'!$K$5:$K$604,'Expense Log'!$F$5:$F$604,$A14,'Expense Log'!$H$5:$H$604,Q$4))</f>
        <v>0</v>
      </c>
      <c r="R14" s="114" t="n">
        <f aca="false">IF($A14="","",SUMIFS('Expense Log'!$K$5:$K$604,'Expense Log'!$F$5:$F$604,$A14,'Expense Log'!$H$5:$H$604,R$4))</f>
        <v>0</v>
      </c>
      <c r="S14" s="114" t="n">
        <f aca="false">IF($A14="","",SUMIFS('Expense Log'!$K$5:$K$604,'Expense Log'!$F$5:$F$604,$A14,'Expense Log'!$H$5:$H$604,S$4))</f>
        <v>0</v>
      </c>
      <c r="T14" s="114" t="n">
        <f aca="false">IF($A14="","",SUMIFS('Expense Log'!$K$5:$K$604,'Expense Log'!$F$5:$F$604,$A14,'Expense Log'!$H$5:$H$604,T$4))</f>
        <v>0</v>
      </c>
      <c r="U14" s="114" t="n">
        <f aca="false">IF($A14="","",SUMIFS('Expense Log'!$K$5:$K$604,'Expense Log'!$F$5:$F$604,$A14,'Expense Log'!$H$5:$H$604,U$4))</f>
        <v>0</v>
      </c>
      <c r="V14" s="114" t="n">
        <f aca="false">IF($A14="","",SUMIFS('Expense Log'!$K$5:$K$604,'Expense Log'!$F$5:$F$604,$A14,'Expense Log'!$H$5:$H$604,V$4))</f>
        <v>0</v>
      </c>
      <c r="W14" s="114" t="n">
        <f aca="false">IF($A14="","",SUMIFS('Expense Log'!$K$5:$K$604,'Expense Log'!$F$5:$F$604,$A14,'Expense Log'!$H$5:$H$604,W$4))</f>
        <v>0</v>
      </c>
      <c r="X14" s="114" t="n">
        <f aca="false">IF($A14="","",SUMIFS('Expense Log'!$K$5:$K$604,'Expense Log'!$F$5:$F$604,$A14,'Expense Log'!$H$5:$H$604,X$4))</f>
        <v>0</v>
      </c>
      <c r="Y14" s="114" t="n">
        <f aca="false">IF($A14="","",SUMIFS('Expense Log'!$K$5:$K$604,'Expense Log'!$F$5:$F$604,$A14,'Expense Log'!$H$5:$H$604,Y$4))</f>
        <v>0</v>
      </c>
    </row>
    <row r="15" customFormat="false" ht="15" hidden="false" customHeight="false" outlineLevel="0" collapsed="false">
      <c r="A15" s="154" t="str">
        <f aca="false">IF(Budget!A15="","",Budget!A15)</f>
        <v>Software &amp; apps</v>
      </c>
      <c r="B15" s="114" t="n">
        <f aca="false">IF(A15="","",Budget!K15)</f>
        <v>0</v>
      </c>
      <c r="C15" s="114" t="n">
        <f aca="false">IF(A15="","",SUMIFS('Expense Log'!$K$5:$K$604,'Expense Log'!$F$5:$F$604,A15,'Expense Log'!$H$5:$H$604,$B$3))</f>
        <v>0</v>
      </c>
      <c r="D15" s="147" t="n">
        <f aca="false">IF(A15="","",C15-B15)</f>
        <v>0</v>
      </c>
      <c r="F15" s="114" t="n">
        <f aca="false">IF($A15="","",SUMIFS('Expense Log'!$K$5:$K$604,'Expense Log'!$F$5:$F$604,$A15,'Expense Log'!$H$5:$H$604,F$4))</f>
        <v>0</v>
      </c>
      <c r="G15" s="114" t="n">
        <f aca="false">IF($A15="","",SUMIFS('Expense Log'!$K$5:$K$604,'Expense Log'!$F$5:$F$604,$A15,'Expense Log'!$H$5:$H$604,G$4))</f>
        <v>0</v>
      </c>
      <c r="H15" s="114" t="n">
        <f aca="false">IF($A15="","",SUMIFS('Expense Log'!$K$5:$K$604,'Expense Log'!$F$5:$F$604,$A15,'Expense Log'!$H$5:$H$604,H$4))</f>
        <v>0</v>
      </c>
      <c r="I15" s="114" t="n">
        <f aca="false">IF($A15="","",SUMIFS('Expense Log'!$K$5:$K$604,'Expense Log'!$F$5:$F$604,$A15,'Expense Log'!$H$5:$H$604,I$4))</f>
        <v>0</v>
      </c>
      <c r="J15" s="114" t="n">
        <f aca="false">IF($A15="","",SUMIFS('Expense Log'!$K$5:$K$604,'Expense Log'!$F$5:$F$604,$A15,'Expense Log'!$H$5:$H$604,J$4))</f>
        <v>0</v>
      </c>
      <c r="K15" s="114" t="n">
        <f aca="false">IF($A15="","",SUMIFS('Expense Log'!$K$5:$K$604,'Expense Log'!$F$5:$F$604,$A15,'Expense Log'!$H$5:$H$604,K$4))</f>
        <v>0</v>
      </c>
      <c r="L15" s="114" t="n">
        <f aca="false">IF($A15="","",SUMIFS('Expense Log'!$K$5:$K$604,'Expense Log'!$F$5:$F$604,$A15,'Expense Log'!$H$5:$H$604,L$4))</f>
        <v>0</v>
      </c>
      <c r="M15" s="114" t="n">
        <f aca="false">IF($A15="","",SUMIFS('Expense Log'!$K$5:$K$604,'Expense Log'!$F$5:$F$604,$A15,'Expense Log'!$H$5:$H$604,M$4))</f>
        <v>0</v>
      </c>
      <c r="N15" s="114" t="n">
        <f aca="false">IF($A15="","",SUMIFS('Expense Log'!$K$5:$K$604,'Expense Log'!$F$5:$F$604,$A15,'Expense Log'!$H$5:$H$604,N$4))</f>
        <v>0</v>
      </c>
      <c r="O15" s="114" t="n">
        <f aca="false">IF($A15="","",SUMIFS('Expense Log'!$K$5:$K$604,'Expense Log'!$F$5:$F$604,$A15,'Expense Log'!$H$5:$H$604,O$4))</f>
        <v>0</v>
      </c>
      <c r="P15" s="114" t="n">
        <f aca="false">IF($A15="","",SUMIFS('Expense Log'!$K$5:$K$604,'Expense Log'!$F$5:$F$604,$A15,'Expense Log'!$H$5:$H$604,P$4))</f>
        <v>0</v>
      </c>
      <c r="Q15" s="114" t="n">
        <f aca="false">IF($A15="","",SUMIFS('Expense Log'!$K$5:$K$604,'Expense Log'!$F$5:$F$604,$A15,'Expense Log'!$H$5:$H$604,Q$4))</f>
        <v>0</v>
      </c>
      <c r="R15" s="114" t="n">
        <f aca="false">IF($A15="","",SUMIFS('Expense Log'!$K$5:$K$604,'Expense Log'!$F$5:$F$604,$A15,'Expense Log'!$H$5:$H$604,R$4))</f>
        <v>0</v>
      </c>
      <c r="S15" s="114" t="n">
        <f aca="false">IF($A15="","",SUMIFS('Expense Log'!$K$5:$K$604,'Expense Log'!$F$5:$F$604,$A15,'Expense Log'!$H$5:$H$604,S$4))</f>
        <v>0</v>
      </c>
      <c r="T15" s="114" t="n">
        <f aca="false">IF($A15="","",SUMIFS('Expense Log'!$K$5:$K$604,'Expense Log'!$F$5:$F$604,$A15,'Expense Log'!$H$5:$H$604,T$4))</f>
        <v>0</v>
      </c>
      <c r="U15" s="114" t="n">
        <f aca="false">IF($A15="","",SUMIFS('Expense Log'!$K$5:$K$604,'Expense Log'!$F$5:$F$604,$A15,'Expense Log'!$H$5:$H$604,U$4))</f>
        <v>0</v>
      </c>
      <c r="V15" s="114" t="n">
        <f aca="false">IF($A15="","",SUMIFS('Expense Log'!$K$5:$K$604,'Expense Log'!$F$5:$F$604,$A15,'Expense Log'!$H$5:$H$604,V$4))</f>
        <v>0</v>
      </c>
      <c r="W15" s="114" t="n">
        <f aca="false">IF($A15="","",SUMIFS('Expense Log'!$K$5:$K$604,'Expense Log'!$F$5:$F$604,$A15,'Expense Log'!$H$5:$H$604,W$4))</f>
        <v>0</v>
      </c>
      <c r="X15" s="114" t="n">
        <f aca="false">IF($A15="","",SUMIFS('Expense Log'!$K$5:$K$604,'Expense Log'!$F$5:$F$604,$A15,'Expense Log'!$H$5:$H$604,X$4))</f>
        <v>0</v>
      </c>
      <c r="Y15" s="114" t="n">
        <f aca="false">IF($A15="","",SUMIFS('Expense Log'!$K$5:$K$604,'Expense Log'!$F$5:$F$604,$A15,'Expense Log'!$H$5:$H$604,Y$4))</f>
        <v>0</v>
      </c>
    </row>
    <row r="16" customFormat="false" ht="15" hidden="false" customHeight="false" outlineLevel="0" collapsed="false">
      <c r="A16" s="154" t="str">
        <f aca="false">IF(Budget!A16="","",Budget!A16)</f>
        <v>Car payment</v>
      </c>
      <c r="B16" s="114" t="n">
        <f aca="false">IF(A16="","",Budget!K16)</f>
        <v>0</v>
      </c>
      <c r="C16" s="114" t="n">
        <f aca="false">IF(A16="","",SUMIFS('Expense Log'!$K$5:$K$604,'Expense Log'!$F$5:$F$604,A16,'Expense Log'!$H$5:$H$604,$B$3))</f>
        <v>0</v>
      </c>
      <c r="D16" s="147" t="n">
        <f aca="false">IF(A16="","",C16-B16)</f>
        <v>0</v>
      </c>
      <c r="F16" s="114" t="n">
        <f aca="false">IF($A16="","",SUMIFS('Expense Log'!$K$5:$K$604,'Expense Log'!$F$5:$F$604,$A16,'Expense Log'!$H$5:$H$604,F$4))</f>
        <v>0</v>
      </c>
      <c r="G16" s="114" t="n">
        <f aca="false">IF($A16="","",SUMIFS('Expense Log'!$K$5:$K$604,'Expense Log'!$F$5:$F$604,$A16,'Expense Log'!$H$5:$H$604,G$4))</f>
        <v>0</v>
      </c>
      <c r="H16" s="114" t="n">
        <f aca="false">IF($A16="","",SUMIFS('Expense Log'!$K$5:$K$604,'Expense Log'!$F$5:$F$604,$A16,'Expense Log'!$H$5:$H$604,H$4))</f>
        <v>0</v>
      </c>
      <c r="I16" s="114" t="n">
        <f aca="false">IF($A16="","",SUMIFS('Expense Log'!$K$5:$K$604,'Expense Log'!$F$5:$F$604,$A16,'Expense Log'!$H$5:$H$604,I$4))</f>
        <v>0</v>
      </c>
      <c r="J16" s="114" t="n">
        <f aca="false">IF($A16="","",SUMIFS('Expense Log'!$K$5:$K$604,'Expense Log'!$F$5:$F$604,$A16,'Expense Log'!$H$5:$H$604,J$4))</f>
        <v>0</v>
      </c>
      <c r="K16" s="114" t="n">
        <f aca="false">IF($A16="","",SUMIFS('Expense Log'!$K$5:$K$604,'Expense Log'!$F$5:$F$604,$A16,'Expense Log'!$H$5:$H$604,K$4))</f>
        <v>0</v>
      </c>
      <c r="L16" s="114" t="n">
        <f aca="false">IF($A16="","",SUMIFS('Expense Log'!$K$5:$K$604,'Expense Log'!$F$5:$F$604,$A16,'Expense Log'!$H$5:$H$604,L$4))</f>
        <v>0</v>
      </c>
      <c r="M16" s="114" t="n">
        <f aca="false">IF($A16="","",SUMIFS('Expense Log'!$K$5:$K$604,'Expense Log'!$F$5:$F$604,$A16,'Expense Log'!$H$5:$H$604,M$4))</f>
        <v>0</v>
      </c>
      <c r="N16" s="114" t="n">
        <f aca="false">IF($A16="","",SUMIFS('Expense Log'!$K$5:$K$604,'Expense Log'!$F$5:$F$604,$A16,'Expense Log'!$H$5:$H$604,N$4))</f>
        <v>0</v>
      </c>
      <c r="O16" s="114" t="n">
        <f aca="false">IF($A16="","",SUMIFS('Expense Log'!$K$5:$K$604,'Expense Log'!$F$5:$F$604,$A16,'Expense Log'!$H$5:$H$604,O$4))</f>
        <v>0</v>
      </c>
      <c r="P16" s="114" t="n">
        <f aca="false">IF($A16="","",SUMIFS('Expense Log'!$K$5:$K$604,'Expense Log'!$F$5:$F$604,$A16,'Expense Log'!$H$5:$H$604,P$4))</f>
        <v>0</v>
      </c>
      <c r="Q16" s="114" t="n">
        <f aca="false">IF($A16="","",SUMIFS('Expense Log'!$K$5:$K$604,'Expense Log'!$F$5:$F$604,$A16,'Expense Log'!$H$5:$H$604,Q$4))</f>
        <v>0</v>
      </c>
      <c r="R16" s="114" t="n">
        <f aca="false">IF($A16="","",SUMIFS('Expense Log'!$K$5:$K$604,'Expense Log'!$F$5:$F$604,$A16,'Expense Log'!$H$5:$H$604,R$4))</f>
        <v>0</v>
      </c>
      <c r="S16" s="114" t="n">
        <f aca="false">IF($A16="","",SUMIFS('Expense Log'!$K$5:$K$604,'Expense Log'!$F$5:$F$604,$A16,'Expense Log'!$H$5:$H$604,S$4))</f>
        <v>0</v>
      </c>
      <c r="T16" s="114" t="n">
        <f aca="false">IF($A16="","",SUMIFS('Expense Log'!$K$5:$K$604,'Expense Log'!$F$5:$F$604,$A16,'Expense Log'!$H$5:$H$604,T$4))</f>
        <v>0</v>
      </c>
      <c r="U16" s="114" t="n">
        <f aca="false">IF($A16="","",SUMIFS('Expense Log'!$K$5:$K$604,'Expense Log'!$F$5:$F$604,$A16,'Expense Log'!$H$5:$H$604,U$4))</f>
        <v>0</v>
      </c>
      <c r="V16" s="114" t="n">
        <f aca="false">IF($A16="","",SUMIFS('Expense Log'!$K$5:$K$604,'Expense Log'!$F$5:$F$604,$A16,'Expense Log'!$H$5:$H$604,V$4))</f>
        <v>0</v>
      </c>
      <c r="W16" s="114" t="n">
        <f aca="false">IF($A16="","",SUMIFS('Expense Log'!$K$5:$K$604,'Expense Log'!$F$5:$F$604,$A16,'Expense Log'!$H$5:$H$604,W$4))</f>
        <v>0</v>
      </c>
      <c r="X16" s="114" t="n">
        <f aca="false">IF($A16="","",SUMIFS('Expense Log'!$K$5:$K$604,'Expense Log'!$F$5:$F$604,$A16,'Expense Log'!$H$5:$H$604,X$4))</f>
        <v>0</v>
      </c>
      <c r="Y16" s="114" t="n">
        <f aca="false">IF($A16="","",SUMIFS('Expense Log'!$K$5:$K$604,'Expense Log'!$F$5:$F$604,$A16,'Expense Log'!$H$5:$H$604,Y$4))</f>
        <v>0</v>
      </c>
    </row>
    <row r="17" customFormat="false" ht="15" hidden="false" customHeight="false" outlineLevel="0" collapsed="false">
      <c r="A17" s="154" t="str">
        <f aca="false">IF(Budget!A17="","",Budget!A17)</f>
        <v>Car insurance</v>
      </c>
      <c r="B17" s="114" t="n">
        <f aca="false">IF(A17="","",Budget!K17)</f>
        <v>0</v>
      </c>
      <c r="C17" s="114" t="n">
        <f aca="false">IF(A17="","",SUMIFS('Expense Log'!$K$5:$K$604,'Expense Log'!$F$5:$F$604,A17,'Expense Log'!$H$5:$H$604,$B$3))</f>
        <v>0</v>
      </c>
      <c r="D17" s="147" t="n">
        <f aca="false">IF(A17="","",C17-B17)</f>
        <v>0</v>
      </c>
      <c r="F17" s="114" t="n">
        <f aca="false">IF($A17="","",SUMIFS('Expense Log'!$K$5:$K$604,'Expense Log'!$F$5:$F$604,$A17,'Expense Log'!$H$5:$H$604,F$4))</f>
        <v>0</v>
      </c>
      <c r="G17" s="114" t="n">
        <f aca="false">IF($A17="","",SUMIFS('Expense Log'!$K$5:$K$604,'Expense Log'!$F$5:$F$604,$A17,'Expense Log'!$H$5:$H$604,G$4))</f>
        <v>0</v>
      </c>
      <c r="H17" s="114" t="n">
        <f aca="false">IF($A17="","",SUMIFS('Expense Log'!$K$5:$K$604,'Expense Log'!$F$5:$F$604,$A17,'Expense Log'!$H$5:$H$604,H$4))</f>
        <v>0</v>
      </c>
      <c r="I17" s="114" t="n">
        <f aca="false">IF($A17="","",SUMIFS('Expense Log'!$K$5:$K$604,'Expense Log'!$F$5:$F$604,$A17,'Expense Log'!$H$5:$H$604,I$4))</f>
        <v>0</v>
      </c>
      <c r="J17" s="114" t="n">
        <f aca="false">IF($A17="","",SUMIFS('Expense Log'!$K$5:$K$604,'Expense Log'!$F$5:$F$604,$A17,'Expense Log'!$H$5:$H$604,J$4))</f>
        <v>0</v>
      </c>
      <c r="K17" s="114" t="n">
        <f aca="false">IF($A17="","",SUMIFS('Expense Log'!$K$5:$K$604,'Expense Log'!$F$5:$F$604,$A17,'Expense Log'!$H$5:$H$604,K$4))</f>
        <v>0</v>
      </c>
      <c r="L17" s="114" t="n">
        <f aca="false">IF($A17="","",SUMIFS('Expense Log'!$K$5:$K$604,'Expense Log'!$F$5:$F$604,$A17,'Expense Log'!$H$5:$H$604,L$4))</f>
        <v>0</v>
      </c>
      <c r="M17" s="114" t="n">
        <f aca="false">IF($A17="","",SUMIFS('Expense Log'!$K$5:$K$604,'Expense Log'!$F$5:$F$604,$A17,'Expense Log'!$H$5:$H$604,M$4))</f>
        <v>0</v>
      </c>
      <c r="N17" s="114" t="n">
        <f aca="false">IF($A17="","",SUMIFS('Expense Log'!$K$5:$K$604,'Expense Log'!$F$5:$F$604,$A17,'Expense Log'!$H$5:$H$604,N$4))</f>
        <v>0</v>
      </c>
      <c r="O17" s="114" t="n">
        <f aca="false">IF($A17="","",SUMIFS('Expense Log'!$K$5:$K$604,'Expense Log'!$F$5:$F$604,$A17,'Expense Log'!$H$5:$H$604,O$4))</f>
        <v>0</v>
      </c>
      <c r="P17" s="114" t="n">
        <f aca="false">IF($A17="","",SUMIFS('Expense Log'!$K$5:$K$604,'Expense Log'!$F$5:$F$604,$A17,'Expense Log'!$H$5:$H$604,P$4))</f>
        <v>0</v>
      </c>
      <c r="Q17" s="114" t="n">
        <f aca="false">IF($A17="","",SUMIFS('Expense Log'!$K$5:$K$604,'Expense Log'!$F$5:$F$604,$A17,'Expense Log'!$H$5:$H$604,Q$4))</f>
        <v>0</v>
      </c>
      <c r="R17" s="114" t="n">
        <f aca="false">IF($A17="","",SUMIFS('Expense Log'!$K$5:$K$604,'Expense Log'!$F$5:$F$604,$A17,'Expense Log'!$H$5:$H$604,R$4))</f>
        <v>0</v>
      </c>
      <c r="S17" s="114" t="n">
        <f aca="false">IF($A17="","",SUMIFS('Expense Log'!$K$5:$K$604,'Expense Log'!$F$5:$F$604,$A17,'Expense Log'!$H$5:$H$604,S$4))</f>
        <v>0</v>
      </c>
      <c r="T17" s="114" t="n">
        <f aca="false">IF($A17="","",SUMIFS('Expense Log'!$K$5:$K$604,'Expense Log'!$F$5:$F$604,$A17,'Expense Log'!$H$5:$H$604,T$4))</f>
        <v>0</v>
      </c>
      <c r="U17" s="114" t="n">
        <f aca="false">IF($A17="","",SUMIFS('Expense Log'!$K$5:$K$604,'Expense Log'!$F$5:$F$604,$A17,'Expense Log'!$H$5:$H$604,U$4))</f>
        <v>0</v>
      </c>
      <c r="V17" s="114" t="n">
        <f aca="false">IF($A17="","",SUMIFS('Expense Log'!$K$5:$K$604,'Expense Log'!$F$5:$F$604,$A17,'Expense Log'!$H$5:$H$604,V$4))</f>
        <v>0</v>
      </c>
      <c r="W17" s="114" t="n">
        <f aca="false">IF($A17="","",SUMIFS('Expense Log'!$K$5:$K$604,'Expense Log'!$F$5:$F$604,$A17,'Expense Log'!$H$5:$H$604,W$4))</f>
        <v>0</v>
      </c>
      <c r="X17" s="114" t="n">
        <f aca="false">IF($A17="","",SUMIFS('Expense Log'!$K$5:$K$604,'Expense Log'!$F$5:$F$604,$A17,'Expense Log'!$H$5:$H$604,X$4))</f>
        <v>0</v>
      </c>
      <c r="Y17" s="114" t="n">
        <f aca="false">IF($A17="","",SUMIFS('Expense Log'!$K$5:$K$604,'Expense Log'!$F$5:$F$604,$A17,'Expense Log'!$H$5:$H$604,Y$4))</f>
        <v>0</v>
      </c>
    </row>
    <row r="18" customFormat="false" ht="15" hidden="false" customHeight="false" outlineLevel="0" collapsed="false">
      <c r="A18" s="154" t="str">
        <f aca="false">IF(Budget!A18="","",Budget!A18)</f>
        <v>Fuel</v>
      </c>
      <c r="B18" s="114" t="n">
        <f aca="false">IF(A18="","",Budget!K18)</f>
        <v>0</v>
      </c>
      <c r="C18" s="114" t="n">
        <f aca="false">IF(A18="","",SUMIFS('Expense Log'!$K$5:$K$604,'Expense Log'!$F$5:$F$604,A18,'Expense Log'!$H$5:$H$604,$B$3))</f>
        <v>0</v>
      </c>
      <c r="D18" s="147" t="n">
        <f aca="false">IF(A18="","",C18-B18)</f>
        <v>0</v>
      </c>
      <c r="F18" s="114" t="n">
        <f aca="false">IF($A18="","",SUMIFS('Expense Log'!$K$5:$K$604,'Expense Log'!$F$5:$F$604,$A18,'Expense Log'!$H$5:$H$604,F$4))</f>
        <v>0</v>
      </c>
      <c r="G18" s="114" t="n">
        <f aca="false">IF($A18="","",SUMIFS('Expense Log'!$K$5:$K$604,'Expense Log'!$F$5:$F$604,$A18,'Expense Log'!$H$5:$H$604,G$4))</f>
        <v>0</v>
      </c>
      <c r="H18" s="114" t="n">
        <f aca="false">IF($A18="","",SUMIFS('Expense Log'!$K$5:$K$604,'Expense Log'!$F$5:$F$604,$A18,'Expense Log'!$H$5:$H$604,H$4))</f>
        <v>0</v>
      </c>
      <c r="I18" s="114" t="n">
        <f aca="false">IF($A18="","",SUMIFS('Expense Log'!$K$5:$K$604,'Expense Log'!$F$5:$F$604,$A18,'Expense Log'!$H$5:$H$604,I$4))</f>
        <v>0</v>
      </c>
      <c r="J18" s="114" t="n">
        <f aca="false">IF($A18="","",SUMIFS('Expense Log'!$K$5:$K$604,'Expense Log'!$F$5:$F$604,$A18,'Expense Log'!$H$5:$H$604,J$4))</f>
        <v>0</v>
      </c>
      <c r="K18" s="114" t="n">
        <f aca="false">IF($A18="","",SUMIFS('Expense Log'!$K$5:$K$604,'Expense Log'!$F$5:$F$604,$A18,'Expense Log'!$H$5:$H$604,K$4))</f>
        <v>0</v>
      </c>
      <c r="L18" s="114" t="n">
        <f aca="false">IF($A18="","",SUMIFS('Expense Log'!$K$5:$K$604,'Expense Log'!$F$5:$F$604,$A18,'Expense Log'!$H$5:$H$604,L$4))</f>
        <v>0</v>
      </c>
      <c r="M18" s="114" t="n">
        <f aca="false">IF($A18="","",SUMIFS('Expense Log'!$K$5:$K$604,'Expense Log'!$F$5:$F$604,$A18,'Expense Log'!$H$5:$H$604,M$4))</f>
        <v>0</v>
      </c>
      <c r="N18" s="114" t="n">
        <f aca="false">IF($A18="","",SUMIFS('Expense Log'!$K$5:$K$604,'Expense Log'!$F$5:$F$604,$A18,'Expense Log'!$H$5:$H$604,N$4))</f>
        <v>0</v>
      </c>
      <c r="O18" s="114" t="n">
        <f aca="false">IF($A18="","",SUMIFS('Expense Log'!$K$5:$K$604,'Expense Log'!$F$5:$F$604,$A18,'Expense Log'!$H$5:$H$604,O$4))</f>
        <v>0</v>
      </c>
      <c r="P18" s="114" t="n">
        <f aca="false">IF($A18="","",SUMIFS('Expense Log'!$K$5:$K$604,'Expense Log'!$F$5:$F$604,$A18,'Expense Log'!$H$5:$H$604,P$4))</f>
        <v>0</v>
      </c>
      <c r="Q18" s="114" t="n">
        <f aca="false">IF($A18="","",SUMIFS('Expense Log'!$K$5:$K$604,'Expense Log'!$F$5:$F$604,$A18,'Expense Log'!$H$5:$H$604,Q$4))</f>
        <v>0</v>
      </c>
      <c r="R18" s="114" t="n">
        <f aca="false">IF($A18="","",SUMIFS('Expense Log'!$K$5:$K$604,'Expense Log'!$F$5:$F$604,$A18,'Expense Log'!$H$5:$H$604,R$4))</f>
        <v>0</v>
      </c>
      <c r="S18" s="114" t="n">
        <f aca="false">IF($A18="","",SUMIFS('Expense Log'!$K$5:$K$604,'Expense Log'!$F$5:$F$604,$A18,'Expense Log'!$H$5:$H$604,S$4))</f>
        <v>0</v>
      </c>
      <c r="T18" s="114" t="n">
        <f aca="false">IF($A18="","",SUMIFS('Expense Log'!$K$5:$K$604,'Expense Log'!$F$5:$F$604,$A18,'Expense Log'!$H$5:$H$604,T$4))</f>
        <v>0</v>
      </c>
      <c r="U18" s="114" t="n">
        <f aca="false">IF($A18="","",SUMIFS('Expense Log'!$K$5:$K$604,'Expense Log'!$F$5:$F$604,$A18,'Expense Log'!$H$5:$H$604,U$4))</f>
        <v>0</v>
      </c>
      <c r="V18" s="114" t="n">
        <f aca="false">IF($A18="","",SUMIFS('Expense Log'!$K$5:$K$604,'Expense Log'!$F$5:$F$604,$A18,'Expense Log'!$H$5:$H$604,V$4))</f>
        <v>0</v>
      </c>
      <c r="W18" s="114" t="n">
        <f aca="false">IF($A18="","",SUMIFS('Expense Log'!$K$5:$K$604,'Expense Log'!$F$5:$F$604,$A18,'Expense Log'!$H$5:$H$604,W$4))</f>
        <v>0</v>
      </c>
      <c r="X18" s="114" t="n">
        <f aca="false">IF($A18="","",SUMIFS('Expense Log'!$K$5:$K$604,'Expense Log'!$F$5:$F$604,$A18,'Expense Log'!$H$5:$H$604,X$4))</f>
        <v>0</v>
      </c>
      <c r="Y18" s="114" t="n">
        <f aca="false">IF($A18="","",SUMIFS('Expense Log'!$K$5:$K$604,'Expense Log'!$F$5:$F$604,$A18,'Expense Log'!$H$5:$H$604,Y$4))</f>
        <v>0</v>
      </c>
    </row>
    <row r="19" customFormat="false" ht="15" hidden="false" customHeight="false" outlineLevel="0" collapsed="false">
      <c r="A19" s="154" t="str">
        <f aca="false">IF(Budget!A19="","",Budget!A19)</f>
        <v>Parking &amp; tolls</v>
      </c>
      <c r="B19" s="114" t="n">
        <f aca="false">IF(A19="","",Budget!K19)</f>
        <v>0</v>
      </c>
      <c r="C19" s="114" t="n">
        <f aca="false">IF(A19="","",SUMIFS('Expense Log'!$K$5:$K$604,'Expense Log'!$F$5:$F$604,A19,'Expense Log'!$H$5:$H$604,$B$3))</f>
        <v>0</v>
      </c>
      <c r="D19" s="147" t="n">
        <f aca="false">IF(A19="","",C19-B19)</f>
        <v>0</v>
      </c>
      <c r="F19" s="114" t="n">
        <f aca="false">IF($A19="","",SUMIFS('Expense Log'!$K$5:$K$604,'Expense Log'!$F$5:$F$604,$A19,'Expense Log'!$H$5:$H$604,F$4))</f>
        <v>0</v>
      </c>
      <c r="G19" s="114" t="n">
        <f aca="false">IF($A19="","",SUMIFS('Expense Log'!$K$5:$K$604,'Expense Log'!$F$5:$F$604,$A19,'Expense Log'!$H$5:$H$604,G$4))</f>
        <v>0</v>
      </c>
      <c r="H19" s="114" t="n">
        <f aca="false">IF($A19="","",SUMIFS('Expense Log'!$K$5:$K$604,'Expense Log'!$F$5:$F$604,$A19,'Expense Log'!$H$5:$H$604,H$4))</f>
        <v>0</v>
      </c>
      <c r="I19" s="114" t="n">
        <f aca="false">IF($A19="","",SUMIFS('Expense Log'!$K$5:$K$604,'Expense Log'!$F$5:$F$604,$A19,'Expense Log'!$H$5:$H$604,I$4))</f>
        <v>0</v>
      </c>
      <c r="J19" s="114" t="n">
        <f aca="false">IF($A19="","",SUMIFS('Expense Log'!$K$5:$K$604,'Expense Log'!$F$5:$F$604,$A19,'Expense Log'!$H$5:$H$604,J$4))</f>
        <v>0</v>
      </c>
      <c r="K19" s="114" t="n">
        <f aca="false">IF($A19="","",SUMIFS('Expense Log'!$K$5:$K$604,'Expense Log'!$F$5:$F$604,$A19,'Expense Log'!$H$5:$H$604,K$4))</f>
        <v>0</v>
      </c>
      <c r="L19" s="114" t="n">
        <f aca="false">IF($A19="","",SUMIFS('Expense Log'!$K$5:$K$604,'Expense Log'!$F$5:$F$604,$A19,'Expense Log'!$H$5:$H$604,L$4))</f>
        <v>0</v>
      </c>
      <c r="M19" s="114" t="n">
        <f aca="false">IF($A19="","",SUMIFS('Expense Log'!$K$5:$K$604,'Expense Log'!$F$5:$F$604,$A19,'Expense Log'!$H$5:$H$604,M$4))</f>
        <v>0</v>
      </c>
      <c r="N19" s="114" t="n">
        <f aca="false">IF($A19="","",SUMIFS('Expense Log'!$K$5:$K$604,'Expense Log'!$F$5:$F$604,$A19,'Expense Log'!$H$5:$H$604,N$4))</f>
        <v>0</v>
      </c>
      <c r="O19" s="114" t="n">
        <f aca="false">IF($A19="","",SUMIFS('Expense Log'!$K$5:$K$604,'Expense Log'!$F$5:$F$604,$A19,'Expense Log'!$H$5:$H$604,O$4))</f>
        <v>0</v>
      </c>
      <c r="P19" s="114" t="n">
        <f aca="false">IF($A19="","",SUMIFS('Expense Log'!$K$5:$K$604,'Expense Log'!$F$5:$F$604,$A19,'Expense Log'!$H$5:$H$604,P$4))</f>
        <v>0</v>
      </c>
      <c r="Q19" s="114" t="n">
        <f aca="false">IF($A19="","",SUMIFS('Expense Log'!$K$5:$K$604,'Expense Log'!$F$5:$F$604,$A19,'Expense Log'!$H$5:$H$604,Q$4))</f>
        <v>0</v>
      </c>
      <c r="R19" s="114" t="n">
        <f aca="false">IF($A19="","",SUMIFS('Expense Log'!$K$5:$K$604,'Expense Log'!$F$5:$F$604,$A19,'Expense Log'!$H$5:$H$604,R$4))</f>
        <v>0</v>
      </c>
      <c r="S19" s="114" t="n">
        <f aca="false">IF($A19="","",SUMIFS('Expense Log'!$K$5:$K$604,'Expense Log'!$F$5:$F$604,$A19,'Expense Log'!$H$5:$H$604,S$4))</f>
        <v>0</v>
      </c>
      <c r="T19" s="114" t="n">
        <f aca="false">IF($A19="","",SUMIFS('Expense Log'!$K$5:$K$604,'Expense Log'!$F$5:$F$604,$A19,'Expense Log'!$H$5:$H$604,T$4))</f>
        <v>0</v>
      </c>
      <c r="U19" s="114" t="n">
        <f aca="false">IF($A19="","",SUMIFS('Expense Log'!$K$5:$K$604,'Expense Log'!$F$5:$F$604,$A19,'Expense Log'!$H$5:$H$604,U$4))</f>
        <v>0</v>
      </c>
      <c r="V19" s="114" t="n">
        <f aca="false">IF($A19="","",SUMIFS('Expense Log'!$K$5:$K$604,'Expense Log'!$F$5:$F$604,$A19,'Expense Log'!$H$5:$H$604,V$4))</f>
        <v>0</v>
      </c>
      <c r="W19" s="114" t="n">
        <f aca="false">IF($A19="","",SUMIFS('Expense Log'!$K$5:$K$604,'Expense Log'!$F$5:$F$604,$A19,'Expense Log'!$H$5:$H$604,W$4))</f>
        <v>0</v>
      </c>
      <c r="X19" s="114" t="n">
        <f aca="false">IF($A19="","",SUMIFS('Expense Log'!$K$5:$K$604,'Expense Log'!$F$5:$F$604,$A19,'Expense Log'!$H$5:$H$604,X$4))</f>
        <v>0</v>
      </c>
      <c r="Y19" s="114" t="n">
        <f aca="false">IF($A19="","",SUMIFS('Expense Log'!$K$5:$K$604,'Expense Log'!$F$5:$F$604,$A19,'Expense Log'!$H$5:$H$604,Y$4))</f>
        <v>0</v>
      </c>
    </row>
    <row r="20" customFormat="false" ht="15" hidden="false" customHeight="false" outlineLevel="0" collapsed="false">
      <c r="A20" s="154" t="str">
        <f aca="false">IF(Budget!A20="","",Budget!A20)</f>
        <v>Groceries &amp; household</v>
      </c>
      <c r="B20" s="114" t="n">
        <f aca="false">IF(A20="","",Budget!K20)</f>
        <v>0</v>
      </c>
      <c r="C20" s="114" t="n">
        <f aca="false">IF(A20="","",SUMIFS('Expense Log'!$K$5:$K$604,'Expense Log'!$F$5:$F$604,A20,'Expense Log'!$H$5:$H$604,$B$3))</f>
        <v>86.42</v>
      </c>
      <c r="D20" s="147" t="n">
        <f aca="false">IF(A20="","",C20-B20)</f>
        <v>86.42</v>
      </c>
      <c r="F20" s="114" t="n">
        <f aca="false">IF($A20="","",SUMIFS('Expense Log'!$K$5:$K$604,'Expense Log'!$F$5:$F$604,$A20,'Expense Log'!$H$5:$H$604,F$4))</f>
        <v>86.42</v>
      </c>
      <c r="G20" s="114" t="n">
        <f aca="false">IF($A20="","",SUMIFS('Expense Log'!$K$5:$K$604,'Expense Log'!$F$5:$F$604,$A20,'Expense Log'!$H$5:$H$604,G$4))</f>
        <v>0</v>
      </c>
      <c r="H20" s="114" t="n">
        <f aca="false">IF($A20="","",SUMIFS('Expense Log'!$K$5:$K$604,'Expense Log'!$F$5:$F$604,$A20,'Expense Log'!$H$5:$H$604,H$4))</f>
        <v>0</v>
      </c>
      <c r="I20" s="114" t="n">
        <f aca="false">IF($A20="","",SUMIFS('Expense Log'!$K$5:$K$604,'Expense Log'!$F$5:$F$604,$A20,'Expense Log'!$H$5:$H$604,I$4))</f>
        <v>0</v>
      </c>
      <c r="J20" s="114" t="n">
        <f aca="false">IF($A20="","",SUMIFS('Expense Log'!$K$5:$K$604,'Expense Log'!$F$5:$F$604,$A20,'Expense Log'!$H$5:$H$604,J$4))</f>
        <v>0</v>
      </c>
      <c r="K20" s="114" t="n">
        <f aca="false">IF($A20="","",SUMIFS('Expense Log'!$K$5:$K$604,'Expense Log'!$F$5:$F$604,$A20,'Expense Log'!$H$5:$H$604,K$4))</f>
        <v>0</v>
      </c>
      <c r="L20" s="114" t="n">
        <f aca="false">IF($A20="","",SUMIFS('Expense Log'!$K$5:$K$604,'Expense Log'!$F$5:$F$604,$A20,'Expense Log'!$H$5:$H$604,L$4))</f>
        <v>0</v>
      </c>
      <c r="M20" s="114" t="n">
        <f aca="false">IF($A20="","",SUMIFS('Expense Log'!$K$5:$K$604,'Expense Log'!$F$5:$F$604,$A20,'Expense Log'!$H$5:$H$604,M$4))</f>
        <v>0</v>
      </c>
      <c r="N20" s="114" t="n">
        <f aca="false">IF($A20="","",SUMIFS('Expense Log'!$K$5:$K$604,'Expense Log'!$F$5:$F$604,$A20,'Expense Log'!$H$5:$H$604,N$4))</f>
        <v>0</v>
      </c>
      <c r="O20" s="114" t="n">
        <f aca="false">IF($A20="","",SUMIFS('Expense Log'!$K$5:$K$604,'Expense Log'!$F$5:$F$604,$A20,'Expense Log'!$H$5:$H$604,O$4))</f>
        <v>0</v>
      </c>
      <c r="P20" s="114" t="n">
        <f aca="false">IF($A20="","",SUMIFS('Expense Log'!$K$5:$K$604,'Expense Log'!$F$5:$F$604,$A20,'Expense Log'!$H$5:$H$604,P$4))</f>
        <v>0</v>
      </c>
      <c r="Q20" s="114" t="n">
        <f aca="false">IF($A20="","",SUMIFS('Expense Log'!$K$5:$K$604,'Expense Log'!$F$5:$F$604,$A20,'Expense Log'!$H$5:$H$604,Q$4))</f>
        <v>0</v>
      </c>
      <c r="R20" s="114" t="n">
        <f aca="false">IF($A20="","",SUMIFS('Expense Log'!$K$5:$K$604,'Expense Log'!$F$5:$F$604,$A20,'Expense Log'!$H$5:$H$604,R$4))</f>
        <v>0</v>
      </c>
      <c r="S20" s="114" t="n">
        <f aca="false">IF($A20="","",SUMIFS('Expense Log'!$K$5:$K$604,'Expense Log'!$F$5:$F$604,$A20,'Expense Log'!$H$5:$H$604,S$4))</f>
        <v>0</v>
      </c>
      <c r="T20" s="114" t="n">
        <f aca="false">IF($A20="","",SUMIFS('Expense Log'!$K$5:$K$604,'Expense Log'!$F$5:$F$604,$A20,'Expense Log'!$H$5:$H$604,T$4))</f>
        <v>0</v>
      </c>
      <c r="U20" s="114" t="n">
        <f aca="false">IF($A20="","",SUMIFS('Expense Log'!$K$5:$K$604,'Expense Log'!$F$5:$F$604,$A20,'Expense Log'!$H$5:$H$604,U$4))</f>
        <v>0</v>
      </c>
      <c r="V20" s="114" t="n">
        <f aca="false">IF($A20="","",SUMIFS('Expense Log'!$K$5:$K$604,'Expense Log'!$F$5:$F$604,$A20,'Expense Log'!$H$5:$H$604,V$4))</f>
        <v>0</v>
      </c>
      <c r="W20" s="114" t="n">
        <f aca="false">IF($A20="","",SUMIFS('Expense Log'!$K$5:$K$604,'Expense Log'!$F$5:$F$604,$A20,'Expense Log'!$H$5:$H$604,W$4))</f>
        <v>0</v>
      </c>
      <c r="X20" s="114" t="n">
        <f aca="false">IF($A20="","",SUMIFS('Expense Log'!$K$5:$K$604,'Expense Log'!$F$5:$F$604,$A20,'Expense Log'!$H$5:$H$604,X$4))</f>
        <v>0</v>
      </c>
      <c r="Y20" s="114" t="n">
        <f aca="false">IF($A20="","",SUMIFS('Expense Log'!$K$5:$K$604,'Expense Log'!$F$5:$F$604,$A20,'Expense Log'!$H$5:$H$604,Y$4))</f>
        <v>0</v>
      </c>
    </row>
    <row r="21" customFormat="false" ht="15" hidden="false" customHeight="false" outlineLevel="0" collapsed="false">
      <c r="A21" s="154" t="str">
        <f aca="false">IF(Budget!A21="","",Budget!A21)</f>
        <v>Dining out</v>
      </c>
      <c r="B21" s="114" t="n">
        <f aca="false">IF(A21="","",Budget!K21)</f>
        <v>0</v>
      </c>
      <c r="C21" s="114" t="n">
        <f aca="false">IF(A21="","",SUMIFS('Expense Log'!$K$5:$K$604,'Expense Log'!$F$5:$F$604,A21,'Expense Log'!$H$5:$H$604,$B$3))</f>
        <v>0</v>
      </c>
      <c r="D21" s="147" t="n">
        <f aca="false">IF(A21="","",C21-B21)</f>
        <v>0</v>
      </c>
      <c r="F21" s="114" t="n">
        <f aca="false">IF($A21="","",SUMIFS('Expense Log'!$K$5:$K$604,'Expense Log'!$F$5:$F$604,$A21,'Expense Log'!$H$5:$H$604,F$4))</f>
        <v>0</v>
      </c>
      <c r="G21" s="114" t="n">
        <f aca="false">IF($A21="","",SUMIFS('Expense Log'!$K$5:$K$604,'Expense Log'!$F$5:$F$604,$A21,'Expense Log'!$H$5:$H$604,G$4))</f>
        <v>0</v>
      </c>
      <c r="H21" s="114" t="n">
        <f aca="false">IF($A21="","",SUMIFS('Expense Log'!$K$5:$K$604,'Expense Log'!$F$5:$F$604,$A21,'Expense Log'!$H$5:$H$604,H$4))</f>
        <v>0</v>
      </c>
      <c r="I21" s="114" t="n">
        <f aca="false">IF($A21="","",SUMIFS('Expense Log'!$K$5:$K$604,'Expense Log'!$F$5:$F$604,$A21,'Expense Log'!$H$5:$H$604,I$4))</f>
        <v>0</v>
      </c>
      <c r="J21" s="114" t="n">
        <f aca="false">IF($A21="","",SUMIFS('Expense Log'!$K$5:$K$604,'Expense Log'!$F$5:$F$604,$A21,'Expense Log'!$H$5:$H$604,J$4))</f>
        <v>0</v>
      </c>
      <c r="K21" s="114" t="n">
        <f aca="false">IF($A21="","",SUMIFS('Expense Log'!$K$5:$K$604,'Expense Log'!$F$5:$F$604,$A21,'Expense Log'!$H$5:$H$604,K$4))</f>
        <v>0</v>
      </c>
      <c r="L21" s="114" t="n">
        <f aca="false">IF($A21="","",SUMIFS('Expense Log'!$K$5:$K$604,'Expense Log'!$F$5:$F$604,$A21,'Expense Log'!$H$5:$H$604,L$4))</f>
        <v>0</v>
      </c>
      <c r="M21" s="114" t="n">
        <f aca="false">IF($A21="","",SUMIFS('Expense Log'!$K$5:$K$604,'Expense Log'!$F$5:$F$604,$A21,'Expense Log'!$H$5:$H$604,M$4))</f>
        <v>0</v>
      </c>
      <c r="N21" s="114" t="n">
        <f aca="false">IF($A21="","",SUMIFS('Expense Log'!$K$5:$K$604,'Expense Log'!$F$5:$F$604,$A21,'Expense Log'!$H$5:$H$604,N$4))</f>
        <v>0</v>
      </c>
      <c r="O21" s="114" t="n">
        <f aca="false">IF($A21="","",SUMIFS('Expense Log'!$K$5:$K$604,'Expense Log'!$F$5:$F$604,$A21,'Expense Log'!$H$5:$H$604,O$4))</f>
        <v>0</v>
      </c>
      <c r="P21" s="114" t="n">
        <f aca="false">IF($A21="","",SUMIFS('Expense Log'!$K$5:$K$604,'Expense Log'!$F$5:$F$604,$A21,'Expense Log'!$H$5:$H$604,P$4))</f>
        <v>0</v>
      </c>
      <c r="Q21" s="114" t="n">
        <f aca="false">IF($A21="","",SUMIFS('Expense Log'!$K$5:$K$604,'Expense Log'!$F$5:$F$604,$A21,'Expense Log'!$H$5:$H$604,Q$4))</f>
        <v>0</v>
      </c>
      <c r="R21" s="114" t="n">
        <f aca="false">IF($A21="","",SUMIFS('Expense Log'!$K$5:$K$604,'Expense Log'!$F$5:$F$604,$A21,'Expense Log'!$H$5:$H$604,R$4))</f>
        <v>0</v>
      </c>
      <c r="S21" s="114" t="n">
        <f aca="false">IF($A21="","",SUMIFS('Expense Log'!$K$5:$K$604,'Expense Log'!$F$5:$F$604,$A21,'Expense Log'!$H$5:$H$604,S$4))</f>
        <v>0</v>
      </c>
      <c r="T21" s="114" t="n">
        <f aca="false">IF($A21="","",SUMIFS('Expense Log'!$K$5:$K$604,'Expense Log'!$F$5:$F$604,$A21,'Expense Log'!$H$5:$H$604,T$4))</f>
        <v>0</v>
      </c>
      <c r="U21" s="114" t="n">
        <f aca="false">IF($A21="","",SUMIFS('Expense Log'!$K$5:$K$604,'Expense Log'!$F$5:$F$604,$A21,'Expense Log'!$H$5:$H$604,U$4))</f>
        <v>0</v>
      </c>
      <c r="V21" s="114" t="n">
        <f aca="false">IF($A21="","",SUMIFS('Expense Log'!$K$5:$K$604,'Expense Log'!$F$5:$F$604,$A21,'Expense Log'!$H$5:$H$604,V$4))</f>
        <v>0</v>
      </c>
      <c r="W21" s="114" t="n">
        <f aca="false">IF($A21="","",SUMIFS('Expense Log'!$K$5:$K$604,'Expense Log'!$F$5:$F$604,$A21,'Expense Log'!$H$5:$H$604,W$4))</f>
        <v>0</v>
      </c>
      <c r="X21" s="114" t="n">
        <f aca="false">IF($A21="","",SUMIFS('Expense Log'!$K$5:$K$604,'Expense Log'!$F$5:$F$604,$A21,'Expense Log'!$H$5:$H$604,X$4))</f>
        <v>0</v>
      </c>
      <c r="Y21" s="114" t="n">
        <f aca="false">IF($A21="","",SUMIFS('Expense Log'!$K$5:$K$604,'Expense Log'!$F$5:$F$604,$A21,'Expense Log'!$H$5:$H$604,Y$4))</f>
        <v>0</v>
      </c>
    </row>
    <row r="22" customFormat="false" ht="15" hidden="false" customHeight="false" outlineLevel="0" collapsed="false">
      <c r="A22" s="154" t="str">
        <f aca="false">IF(Budget!A22="","",Budget!A22)</f>
        <v>Health insurance premium</v>
      </c>
      <c r="B22" s="114" t="n">
        <f aca="false">IF(A22="","",Budget!K22)</f>
        <v>0</v>
      </c>
      <c r="C22" s="114" t="n">
        <f aca="false">IF(A22="","",SUMIFS('Expense Log'!$K$5:$K$604,'Expense Log'!$F$5:$F$604,A22,'Expense Log'!$H$5:$H$604,$B$3))</f>
        <v>0</v>
      </c>
      <c r="D22" s="147" t="n">
        <f aca="false">IF(A22="","",C22-B22)</f>
        <v>0</v>
      </c>
      <c r="F22" s="114" t="n">
        <f aca="false">IF($A22="","",SUMIFS('Expense Log'!$K$5:$K$604,'Expense Log'!$F$5:$F$604,$A22,'Expense Log'!$H$5:$H$604,F$4))</f>
        <v>0</v>
      </c>
      <c r="G22" s="114" t="n">
        <f aca="false">IF($A22="","",SUMIFS('Expense Log'!$K$5:$K$604,'Expense Log'!$F$5:$F$604,$A22,'Expense Log'!$H$5:$H$604,G$4))</f>
        <v>0</v>
      </c>
      <c r="H22" s="114" t="n">
        <f aca="false">IF($A22="","",SUMIFS('Expense Log'!$K$5:$K$604,'Expense Log'!$F$5:$F$604,$A22,'Expense Log'!$H$5:$H$604,H$4))</f>
        <v>0</v>
      </c>
      <c r="I22" s="114" t="n">
        <f aca="false">IF($A22="","",SUMIFS('Expense Log'!$K$5:$K$604,'Expense Log'!$F$5:$F$604,$A22,'Expense Log'!$H$5:$H$604,I$4))</f>
        <v>0</v>
      </c>
      <c r="J22" s="114" t="n">
        <f aca="false">IF($A22="","",SUMIFS('Expense Log'!$K$5:$K$604,'Expense Log'!$F$5:$F$604,$A22,'Expense Log'!$H$5:$H$604,J$4))</f>
        <v>0</v>
      </c>
      <c r="K22" s="114" t="n">
        <f aca="false">IF($A22="","",SUMIFS('Expense Log'!$K$5:$K$604,'Expense Log'!$F$5:$F$604,$A22,'Expense Log'!$H$5:$H$604,K$4))</f>
        <v>0</v>
      </c>
      <c r="L22" s="114" t="n">
        <f aca="false">IF($A22="","",SUMIFS('Expense Log'!$K$5:$K$604,'Expense Log'!$F$5:$F$604,$A22,'Expense Log'!$H$5:$H$604,L$4))</f>
        <v>0</v>
      </c>
      <c r="M22" s="114" t="n">
        <f aca="false">IF($A22="","",SUMIFS('Expense Log'!$K$5:$K$604,'Expense Log'!$F$5:$F$604,$A22,'Expense Log'!$H$5:$H$604,M$4))</f>
        <v>0</v>
      </c>
      <c r="N22" s="114" t="n">
        <f aca="false">IF($A22="","",SUMIFS('Expense Log'!$K$5:$K$604,'Expense Log'!$F$5:$F$604,$A22,'Expense Log'!$H$5:$H$604,N$4))</f>
        <v>0</v>
      </c>
      <c r="O22" s="114" t="n">
        <f aca="false">IF($A22="","",SUMIFS('Expense Log'!$K$5:$K$604,'Expense Log'!$F$5:$F$604,$A22,'Expense Log'!$H$5:$H$604,O$4))</f>
        <v>0</v>
      </c>
      <c r="P22" s="114" t="n">
        <f aca="false">IF($A22="","",SUMIFS('Expense Log'!$K$5:$K$604,'Expense Log'!$F$5:$F$604,$A22,'Expense Log'!$H$5:$H$604,P$4))</f>
        <v>0</v>
      </c>
      <c r="Q22" s="114" t="n">
        <f aca="false">IF($A22="","",SUMIFS('Expense Log'!$K$5:$K$604,'Expense Log'!$F$5:$F$604,$A22,'Expense Log'!$H$5:$H$604,Q$4))</f>
        <v>0</v>
      </c>
      <c r="R22" s="114" t="n">
        <f aca="false">IF($A22="","",SUMIFS('Expense Log'!$K$5:$K$604,'Expense Log'!$F$5:$F$604,$A22,'Expense Log'!$H$5:$H$604,R$4))</f>
        <v>0</v>
      </c>
      <c r="S22" s="114" t="n">
        <f aca="false">IF($A22="","",SUMIFS('Expense Log'!$K$5:$K$604,'Expense Log'!$F$5:$F$604,$A22,'Expense Log'!$H$5:$H$604,S$4))</f>
        <v>0</v>
      </c>
      <c r="T22" s="114" t="n">
        <f aca="false">IF($A22="","",SUMIFS('Expense Log'!$K$5:$K$604,'Expense Log'!$F$5:$F$604,$A22,'Expense Log'!$H$5:$H$604,T$4))</f>
        <v>0</v>
      </c>
      <c r="U22" s="114" t="n">
        <f aca="false">IF($A22="","",SUMIFS('Expense Log'!$K$5:$K$604,'Expense Log'!$F$5:$F$604,$A22,'Expense Log'!$H$5:$H$604,U$4))</f>
        <v>0</v>
      </c>
      <c r="V22" s="114" t="n">
        <f aca="false">IF($A22="","",SUMIFS('Expense Log'!$K$5:$K$604,'Expense Log'!$F$5:$F$604,$A22,'Expense Log'!$H$5:$H$604,V$4))</f>
        <v>0</v>
      </c>
      <c r="W22" s="114" t="n">
        <f aca="false">IF($A22="","",SUMIFS('Expense Log'!$K$5:$K$604,'Expense Log'!$F$5:$F$604,$A22,'Expense Log'!$H$5:$H$604,W$4))</f>
        <v>0</v>
      </c>
      <c r="X22" s="114" t="n">
        <f aca="false">IF($A22="","",SUMIFS('Expense Log'!$K$5:$K$604,'Expense Log'!$F$5:$F$604,$A22,'Expense Log'!$H$5:$H$604,X$4))</f>
        <v>0</v>
      </c>
      <c r="Y22" s="114" t="n">
        <f aca="false">IF($A22="","",SUMIFS('Expense Log'!$K$5:$K$604,'Expense Log'!$F$5:$F$604,$A22,'Expense Log'!$H$5:$H$604,Y$4))</f>
        <v>0</v>
      </c>
    </row>
    <row r="23" customFormat="false" ht="15" hidden="false" customHeight="false" outlineLevel="0" collapsed="false">
      <c r="A23" s="154" t="str">
        <f aca="false">IF(Budget!A23="","",Budget!A23)</f>
        <v>Doctor &amp; dental</v>
      </c>
      <c r="B23" s="114" t="n">
        <f aca="false">IF(A23="","",Budget!K23)</f>
        <v>0</v>
      </c>
      <c r="C23" s="114" t="n">
        <f aca="false">IF(A23="","",SUMIFS('Expense Log'!$K$5:$K$604,'Expense Log'!$F$5:$F$604,A23,'Expense Log'!$H$5:$H$604,$B$3))</f>
        <v>0</v>
      </c>
      <c r="D23" s="147" t="n">
        <f aca="false">IF(A23="","",C23-B23)</f>
        <v>0</v>
      </c>
      <c r="F23" s="114" t="n">
        <f aca="false">IF($A23="","",SUMIFS('Expense Log'!$K$5:$K$604,'Expense Log'!$F$5:$F$604,$A23,'Expense Log'!$H$5:$H$604,F$4))</f>
        <v>0</v>
      </c>
      <c r="G23" s="114" t="n">
        <f aca="false">IF($A23="","",SUMIFS('Expense Log'!$K$5:$K$604,'Expense Log'!$F$5:$F$604,$A23,'Expense Log'!$H$5:$H$604,G$4))</f>
        <v>0</v>
      </c>
      <c r="H23" s="114" t="n">
        <f aca="false">IF($A23="","",SUMIFS('Expense Log'!$K$5:$K$604,'Expense Log'!$F$5:$F$604,$A23,'Expense Log'!$H$5:$H$604,H$4))</f>
        <v>0</v>
      </c>
      <c r="I23" s="114" t="n">
        <f aca="false">IF($A23="","",SUMIFS('Expense Log'!$K$5:$K$604,'Expense Log'!$F$5:$F$604,$A23,'Expense Log'!$H$5:$H$604,I$4))</f>
        <v>0</v>
      </c>
      <c r="J23" s="114" t="n">
        <f aca="false">IF($A23="","",SUMIFS('Expense Log'!$K$5:$K$604,'Expense Log'!$F$5:$F$604,$A23,'Expense Log'!$H$5:$H$604,J$4))</f>
        <v>0</v>
      </c>
      <c r="K23" s="114" t="n">
        <f aca="false">IF($A23="","",SUMIFS('Expense Log'!$K$5:$K$604,'Expense Log'!$F$5:$F$604,$A23,'Expense Log'!$H$5:$H$604,K$4))</f>
        <v>0</v>
      </c>
      <c r="L23" s="114" t="n">
        <f aca="false">IF($A23="","",SUMIFS('Expense Log'!$K$5:$K$604,'Expense Log'!$F$5:$F$604,$A23,'Expense Log'!$H$5:$H$604,L$4))</f>
        <v>0</v>
      </c>
      <c r="M23" s="114" t="n">
        <f aca="false">IF($A23="","",SUMIFS('Expense Log'!$K$5:$K$604,'Expense Log'!$F$5:$F$604,$A23,'Expense Log'!$H$5:$H$604,M$4))</f>
        <v>0</v>
      </c>
      <c r="N23" s="114" t="n">
        <f aca="false">IF($A23="","",SUMIFS('Expense Log'!$K$5:$K$604,'Expense Log'!$F$5:$F$604,$A23,'Expense Log'!$H$5:$H$604,N$4))</f>
        <v>0</v>
      </c>
      <c r="O23" s="114" t="n">
        <f aca="false">IF($A23="","",SUMIFS('Expense Log'!$K$5:$K$604,'Expense Log'!$F$5:$F$604,$A23,'Expense Log'!$H$5:$H$604,O$4))</f>
        <v>0</v>
      </c>
      <c r="P23" s="114" t="n">
        <f aca="false">IF($A23="","",SUMIFS('Expense Log'!$K$5:$K$604,'Expense Log'!$F$5:$F$604,$A23,'Expense Log'!$H$5:$H$604,P$4))</f>
        <v>0</v>
      </c>
      <c r="Q23" s="114" t="n">
        <f aca="false">IF($A23="","",SUMIFS('Expense Log'!$K$5:$K$604,'Expense Log'!$F$5:$F$604,$A23,'Expense Log'!$H$5:$H$604,Q$4))</f>
        <v>0</v>
      </c>
      <c r="R23" s="114" t="n">
        <f aca="false">IF($A23="","",SUMIFS('Expense Log'!$K$5:$K$604,'Expense Log'!$F$5:$F$604,$A23,'Expense Log'!$H$5:$H$604,R$4))</f>
        <v>0</v>
      </c>
      <c r="S23" s="114" t="n">
        <f aca="false">IF($A23="","",SUMIFS('Expense Log'!$K$5:$K$604,'Expense Log'!$F$5:$F$604,$A23,'Expense Log'!$H$5:$H$604,S$4))</f>
        <v>0</v>
      </c>
      <c r="T23" s="114" t="n">
        <f aca="false">IF($A23="","",SUMIFS('Expense Log'!$K$5:$K$604,'Expense Log'!$F$5:$F$604,$A23,'Expense Log'!$H$5:$H$604,T$4))</f>
        <v>0</v>
      </c>
      <c r="U23" s="114" t="n">
        <f aca="false">IF($A23="","",SUMIFS('Expense Log'!$K$5:$K$604,'Expense Log'!$F$5:$F$604,$A23,'Expense Log'!$H$5:$H$604,U$4))</f>
        <v>0</v>
      </c>
      <c r="V23" s="114" t="n">
        <f aca="false">IF($A23="","",SUMIFS('Expense Log'!$K$5:$K$604,'Expense Log'!$F$5:$F$604,$A23,'Expense Log'!$H$5:$H$604,V$4))</f>
        <v>0</v>
      </c>
      <c r="W23" s="114" t="n">
        <f aca="false">IF($A23="","",SUMIFS('Expense Log'!$K$5:$K$604,'Expense Log'!$F$5:$F$604,$A23,'Expense Log'!$H$5:$H$604,W$4))</f>
        <v>0</v>
      </c>
      <c r="X23" s="114" t="n">
        <f aca="false">IF($A23="","",SUMIFS('Expense Log'!$K$5:$K$604,'Expense Log'!$F$5:$F$604,$A23,'Expense Log'!$H$5:$H$604,X$4))</f>
        <v>0</v>
      </c>
      <c r="Y23" s="114" t="n">
        <f aca="false">IF($A23="","",SUMIFS('Expense Log'!$K$5:$K$604,'Expense Log'!$F$5:$F$604,$A23,'Expense Log'!$H$5:$H$604,Y$4))</f>
        <v>0</v>
      </c>
    </row>
    <row r="24" customFormat="false" ht="15" hidden="false" customHeight="false" outlineLevel="0" collapsed="false">
      <c r="A24" s="154" t="str">
        <f aca="false">IF(Budget!A24="","",Budget!A24)</f>
        <v>Prescriptions</v>
      </c>
      <c r="B24" s="114" t="n">
        <f aca="false">IF(A24="","",Budget!K24)</f>
        <v>0</v>
      </c>
      <c r="C24" s="114" t="n">
        <f aca="false">IF(A24="","",SUMIFS('Expense Log'!$K$5:$K$604,'Expense Log'!$F$5:$F$604,A24,'Expense Log'!$H$5:$H$604,$B$3))</f>
        <v>0</v>
      </c>
      <c r="D24" s="147" t="n">
        <f aca="false">IF(A24="","",C24-B24)</f>
        <v>0</v>
      </c>
      <c r="F24" s="114" t="n">
        <f aca="false">IF($A24="","",SUMIFS('Expense Log'!$K$5:$K$604,'Expense Log'!$F$5:$F$604,$A24,'Expense Log'!$H$5:$H$604,F$4))</f>
        <v>0</v>
      </c>
      <c r="G24" s="114" t="n">
        <f aca="false">IF($A24="","",SUMIFS('Expense Log'!$K$5:$K$604,'Expense Log'!$F$5:$F$604,$A24,'Expense Log'!$H$5:$H$604,G$4))</f>
        <v>0</v>
      </c>
      <c r="H24" s="114" t="n">
        <f aca="false">IF($A24="","",SUMIFS('Expense Log'!$K$5:$K$604,'Expense Log'!$F$5:$F$604,$A24,'Expense Log'!$H$5:$H$604,H$4))</f>
        <v>0</v>
      </c>
      <c r="I24" s="114" t="n">
        <f aca="false">IF($A24="","",SUMIFS('Expense Log'!$K$5:$K$604,'Expense Log'!$F$5:$F$604,$A24,'Expense Log'!$H$5:$H$604,I$4))</f>
        <v>0</v>
      </c>
      <c r="J24" s="114" t="n">
        <f aca="false">IF($A24="","",SUMIFS('Expense Log'!$K$5:$K$604,'Expense Log'!$F$5:$F$604,$A24,'Expense Log'!$H$5:$H$604,J$4))</f>
        <v>0</v>
      </c>
      <c r="K24" s="114" t="n">
        <f aca="false">IF($A24="","",SUMIFS('Expense Log'!$K$5:$K$604,'Expense Log'!$F$5:$F$604,$A24,'Expense Log'!$H$5:$H$604,K$4))</f>
        <v>0</v>
      </c>
      <c r="L24" s="114" t="n">
        <f aca="false">IF($A24="","",SUMIFS('Expense Log'!$K$5:$K$604,'Expense Log'!$F$5:$F$604,$A24,'Expense Log'!$H$5:$H$604,L$4))</f>
        <v>0</v>
      </c>
      <c r="M24" s="114" t="n">
        <f aca="false">IF($A24="","",SUMIFS('Expense Log'!$K$5:$K$604,'Expense Log'!$F$5:$F$604,$A24,'Expense Log'!$H$5:$H$604,M$4))</f>
        <v>0</v>
      </c>
      <c r="N24" s="114" t="n">
        <f aca="false">IF($A24="","",SUMIFS('Expense Log'!$K$5:$K$604,'Expense Log'!$F$5:$F$604,$A24,'Expense Log'!$H$5:$H$604,N$4))</f>
        <v>0</v>
      </c>
      <c r="O24" s="114" t="n">
        <f aca="false">IF($A24="","",SUMIFS('Expense Log'!$K$5:$K$604,'Expense Log'!$F$5:$F$604,$A24,'Expense Log'!$H$5:$H$604,O$4))</f>
        <v>0</v>
      </c>
      <c r="P24" s="114" t="n">
        <f aca="false">IF($A24="","",SUMIFS('Expense Log'!$K$5:$K$604,'Expense Log'!$F$5:$F$604,$A24,'Expense Log'!$H$5:$H$604,P$4))</f>
        <v>0</v>
      </c>
      <c r="Q24" s="114" t="n">
        <f aca="false">IF($A24="","",SUMIFS('Expense Log'!$K$5:$K$604,'Expense Log'!$F$5:$F$604,$A24,'Expense Log'!$H$5:$H$604,Q$4))</f>
        <v>0</v>
      </c>
      <c r="R24" s="114" t="n">
        <f aca="false">IF($A24="","",SUMIFS('Expense Log'!$K$5:$K$604,'Expense Log'!$F$5:$F$604,$A24,'Expense Log'!$H$5:$H$604,R$4))</f>
        <v>0</v>
      </c>
      <c r="S24" s="114" t="n">
        <f aca="false">IF($A24="","",SUMIFS('Expense Log'!$K$5:$K$604,'Expense Log'!$F$5:$F$604,$A24,'Expense Log'!$H$5:$H$604,S$4))</f>
        <v>0</v>
      </c>
      <c r="T24" s="114" t="n">
        <f aca="false">IF($A24="","",SUMIFS('Expense Log'!$K$5:$K$604,'Expense Log'!$F$5:$F$604,$A24,'Expense Log'!$H$5:$H$604,T$4))</f>
        <v>0</v>
      </c>
      <c r="U24" s="114" t="n">
        <f aca="false">IF($A24="","",SUMIFS('Expense Log'!$K$5:$K$604,'Expense Log'!$F$5:$F$604,$A24,'Expense Log'!$H$5:$H$604,U$4))</f>
        <v>0</v>
      </c>
      <c r="V24" s="114" t="n">
        <f aca="false">IF($A24="","",SUMIFS('Expense Log'!$K$5:$K$604,'Expense Log'!$F$5:$F$604,$A24,'Expense Log'!$H$5:$H$604,V$4))</f>
        <v>0</v>
      </c>
      <c r="W24" s="114" t="n">
        <f aca="false">IF($A24="","",SUMIFS('Expense Log'!$K$5:$K$604,'Expense Log'!$F$5:$F$604,$A24,'Expense Log'!$H$5:$H$604,W$4))</f>
        <v>0</v>
      </c>
      <c r="X24" s="114" t="n">
        <f aca="false">IF($A24="","",SUMIFS('Expense Log'!$K$5:$K$604,'Expense Log'!$F$5:$F$604,$A24,'Expense Log'!$H$5:$H$604,X$4))</f>
        <v>0</v>
      </c>
      <c r="Y24" s="114" t="n">
        <f aca="false">IF($A24="","",SUMIFS('Expense Log'!$K$5:$K$604,'Expense Log'!$F$5:$F$604,$A24,'Expense Log'!$H$5:$H$604,Y$4))</f>
        <v>0</v>
      </c>
    </row>
    <row r="25" customFormat="false" ht="15" hidden="false" customHeight="false" outlineLevel="0" collapsed="false">
      <c r="A25" s="154" t="str">
        <f aca="false">IF(Budget!A25="","",Budget!A25)</f>
        <v>Gym / fitness</v>
      </c>
      <c r="B25" s="114" t="n">
        <f aca="false">IF(A25="","",Budget!K25)</f>
        <v>0</v>
      </c>
      <c r="C25" s="114" t="n">
        <f aca="false">IF(A25="","",SUMIFS('Expense Log'!$K$5:$K$604,'Expense Log'!$F$5:$F$604,A25,'Expense Log'!$H$5:$H$604,$B$3))</f>
        <v>0</v>
      </c>
      <c r="D25" s="147" t="n">
        <f aca="false">IF(A25="","",C25-B25)</f>
        <v>0</v>
      </c>
      <c r="F25" s="114" t="n">
        <f aca="false">IF($A25="","",SUMIFS('Expense Log'!$K$5:$K$604,'Expense Log'!$F$5:$F$604,$A25,'Expense Log'!$H$5:$H$604,F$4))</f>
        <v>0</v>
      </c>
      <c r="G25" s="114" t="n">
        <f aca="false">IF($A25="","",SUMIFS('Expense Log'!$K$5:$K$604,'Expense Log'!$F$5:$F$604,$A25,'Expense Log'!$H$5:$H$604,G$4))</f>
        <v>0</v>
      </c>
      <c r="H25" s="114" t="n">
        <f aca="false">IF($A25="","",SUMIFS('Expense Log'!$K$5:$K$604,'Expense Log'!$F$5:$F$604,$A25,'Expense Log'!$H$5:$H$604,H$4))</f>
        <v>0</v>
      </c>
      <c r="I25" s="114" t="n">
        <f aca="false">IF($A25="","",SUMIFS('Expense Log'!$K$5:$K$604,'Expense Log'!$F$5:$F$604,$A25,'Expense Log'!$H$5:$H$604,I$4))</f>
        <v>0</v>
      </c>
      <c r="J25" s="114" t="n">
        <f aca="false">IF($A25="","",SUMIFS('Expense Log'!$K$5:$K$604,'Expense Log'!$F$5:$F$604,$A25,'Expense Log'!$H$5:$H$604,J$4))</f>
        <v>0</v>
      </c>
      <c r="K25" s="114" t="n">
        <f aca="false">IF($A25="","",SUMIFS('Expense Log'!$K$5:$K$604,'Expense Log'!$F$5:$F$604,$A25,'Expense Log'!$H$5:$H$604,K$4))</f>
        <v>0</v>
      </c>
      <c r="L25" s="114" t="n">
        <f aca="false">IF($A25="","",SUMIFS('Expense Log'!$K$5:$K$604,'Expense Log'!$F$5:$F$604,$A25,'Expense Log'!$H$5:$H$604,L$4))</f>
        <v>0</v>
      </c>
      <c r="M25" s="114" t="n">
        <f aca="false">IF($A25="","",SUMIFS('Expense Log'!$K$5:$K$604,'Expense Log'!$F$5:$F$604,$A25,'Expense Log'!$H$5:$H$604,M$4))</f>
        <v>0</v>
      </c>
      <c r="N25" s="114" t="n">
        <f aca="false">IF($A25="","",SUMIFS('Expense Log'!$K$5:$K$604,'Expense Log'!$F$5:$F$604,$A25,'Expense Log'!$H$5:$H$604,N$4))</f>
        <v>0</v>
      </c>
      <c r="O25" s="114" t="n">
        <f aca="false">IF($A25="","",SUMIFS('Expense Log'!$K$5:$K$604,'Expense Log'!$F$5:$F$604,$A25,'Expense Log'!$H$5:$H$604,O$4))</f>
        <v>0</v>
      </c>
      <c r="P25" s="114" t="n">
        <f aca="false">IF($A25="","",SUMIFS('Expense Log'!$K$5:$K$604,'Expense Log'!$F$5:$F$604,$A25,'Expense Log'!$H$5:$H$604,P$4))</f>
        <v>0</v>
      </c>
      <c r="Q25" s="114" t="n">
        <f aca="false">IF($A25="","",SUMIFS('Expense Log'!$K$5:$K$604,'Expense Log'!$F$5:$F$604,$A25,'Expense Log'!$H$5:$H$604,Q$4))</f>
        <v>0</v>
      </c>
      <c r="R25" s="114" t="n">
        <f aca="false">IF($A25="","",SUMIFS('Expense Log'!$K$5:$K$604,'Expense Log'!$F$5:$F$604,$A25,'Expense Log'!$H$5:$H$604,R$4))</f>
        <v>0</v>
      </c>
      <c r="S25" s="114" t="n">
        <f aca="false">IF($A25="","",SUMIFS('Expense Log'!$K$5:$K$604,'Expense Log'!$F$5:$F$604,$A25,'Expense Log'!$H$5:$H$604,S$4))</f>
        <v>0</v>
      </c>
      <c r="T25" s="114" t="n">
        <f aca="false">IF($A25="","",SUMIFS('Expense Log'!$K$5:$K$604,'Expense Log'!$F$5:$F$604,$A25,'Expense Log'!$H$5:$H$604,T$4))</f>
        <v>0</v>
      </c>
      <c r="U25" s="114" t="n">
        <f aca="false">IF($A25="","",SUMIFS('Expense Log'!$K$5:$K$604,'Expense Log'!$F$5:$F$604,$A25,'Expense Log'!$H$5:$H$604,U$4))</f>
        <v>0</v>
      </c>
      <c r="V25" s="114" t="n">
        <f aca="false">IF($A25="","",SUMIFS('Expense Log'!$K$5:$K$604,'Expense Log'!$F$5:$F$604,$A25,'Expense Log'!$H$5:$H$604,V$4))</f>
        <v>0</v>
      </c>
      <c r="W25" s="114" t="n">
        <f aca="false">IF($A25="","",SUMIFS('Expense Log'!$K$5:$K$604,'Expense Log'!$F$5:$F$604,$A25,'Expense Log'!$H$5:$H$604,W$4))</f>
        <v>0</v>
      </c>
      <c r="X25" s="114" t="n">
        <f aca="false">IF($A25="","",SUMIFS('Expense Log'!$K$5:$K$604,'Expense Log'!$F$5:$F$604,$A25,'Expense Log'!$H$5:$H$604,X$4))</f>
        <v>0</v>
      </c>
      <c r="Y25" s="114" t="n">
        <f aca="false">IF($A25="","",SUMIFS('Expense Log'!$K$5:$K$604,'Expense Log'!$F$5:$F$604,$A25,'Expense Log'!$H$5:$H$604,Y$4))</f>
        <v>0</v>
      </c>
    </row>
    <row r="26" customFormat="false" ht="15" hidden="false" customHeight="false" outlineLevel="0" collapsed="false">
      <c r="A26" s="154" t="str">
        <f aca="false">IF(Budget!A26="","",Budget!A26)</f>
        <v>Childcare / daycare</v>
      </c>
      <c r="B26" s="114" t="n">
        <f aca="false">IF(A26="","",Budget!K26)</f>
        <v>0</v>
      </c>
      <c r="C26" s="114" t="n">
        <f aca="false">IF(A26="","",SUMIFS('Expense Log'!$K$5:$K$604,'Expense Log'!$F$5:$F$604,A26,'Expense Log'!$H$5:$H$604,$B$3))</f>
        <v>0</v>
      </c>
      <c r="D26" s="147" t="n">
        <f aca="false">IF(A26="","",C26-B26)</f>
        <v>0</v>
      </c>
      <c r="F26" s="114" t="n">
        <f aca="false">IF($A26="","",SUMIFS('Expense Log'!$K$5:$K$604,'Expense Log'!$F$5:$F$604,$A26,'Expense Log'!$H$5:$H$604,F$4))</f>
        <v>0</v>
      </c>
      <c r="G26" s="114" t="n">
        <f aca="false">IF($A26="","",SUMIFS('Expense Log'!$K$5:$K$604,'Expense Log'!$F$5:$F$604,$A26,'Expense Log'!$H$5:$H$604,G$4))</f>
        <v>0</v>
      </c>
      <c r="H26" s="114" t="n">
        <f aca="false">IF($A26="","",SUMIFS('Expense Log'!$K$5:$K$604,'Expense Log'!$F$5:$F$604,$A26,'Expense Log'!$H$5:$H$604,H$4))</f>
        <v>0</v>
      </c>
      <c r="I26" s="114" t="n">
        <f aca="false">IF($A26="","",SUMIFS('Expense Log'!$K$5:$K$604,'Expense Log'!$F$5:$F$604,$A26,'Expense Log'!$H$5:$H$604,I$4))</f>
        <v>0</v>
      </c>
      <c r="J26" s="114" t="n">
        <f aca="false">IF($A26="","",SUMIFS('Expense Log'!$K$5:$K$604,'Expense Log'!$F$5:$F$604,$A26,'Expense Log'!$H$5:$H$604,J$4))</f>
        <v>0</v>
      </c>
      <c r="K26" s="114" t="n">
        <f aca="false">IF($A26="","",SUMIFS('Expense Log'!$K$5:$K$604,'Expense Log'!$F$5:$F$604,$A26,'Expense Log'!$H$5:$H$604,K$4))</f>
        <v>0</v>
      </c>
      <c r="L26" s="114" t="n">
        <f aca="false">IF($A26="","",SUMIFS('Expense Log'!$K$5:$K$604,'Expense Log'!$F$5:$F$604,$A26,'Expense Log'!$H$5:$H$604,L$4))</f>
        <v>0</v>
      </c>
      <c r="M26" s="114" t="n">
        <f aca="false">IF($A26="","",SUMIFS('Expense Log'!$K$5:$K$604,'Expense Log'!$F$5:$F$604,$A26,'Expense Log'!$H$5:$H$604,M$4))</f>
        <v>0</v>
      </c>
      <c r="N26" s="114" t="n">
        <f aca="false">IF($A26="","",SUMIFS('Expense Log'!$K$5:$K$604,'Expense Log'!$F$5:$F$604,$A26,'Expense Log'!$H$5:$H$604,N$4))</f>
        <v>0</v>
      </c>
      <c r="O26" s="114" t="n">
        <f aca="false">IF($A26="","",SUMIFS('Expense Log'!$K$5:$K$604,'Expense Log'!$F$5:$F$604,$A26,'Expense Log'!$H$5:$H$604,O$4))</f>
        <v>0</v>
      </c>
      <c r="P26" s="114" t="n">
        <f aca="false">IF($A26="","",SUMIFS('Expense Log'!$K$5:$K$604,'Expense Log'!$F$5:$F$604,$A26,'Expense Log'!$H$5:$H$604,P$4))</f>
        <v>0</v>
      </c>
      <c r="Q26" s="114" t="n">
        <f aca="false">IF($A26="","",SUMIFS('Expense Log'!$K$5:$K$604,'Expense Log'!$F$5:$F$604,$A26,'Expense Log'!$H$5:$H$604,Q$4))</f>
        <v>0</v>
      </c>
      <c r="R26" s="114" t="n">
        <f aca="false">IF($A26="","",SUMIFS('Expense Log'!$K$5:$K$604,'Expense Log'!$F$5:$F$604,$A26,'Expense Log'!$H$5:$H$604,R$4))</f>
        <v>0</v>
      </c>
      <c r="S26" s="114" t="n">
        <f aca="false">IF($A26="","",SUMIFS('Expense Log'!$K$5:$K$604,'Expense Log'!$F$5:$F$604,$A26,'Expense Log'!$H$5:$H$604,S$4))</f>
        <v>0</v>
      </c>
      <c r="T26" s="114" t="n">
        <f aca="false">IF($A26="","",SUMIFS('Expense Log'!$K$5:$K$604,'Expense Log'!$F$5:$F$604,$A26,'Expense Log'!$H$5:$H$604,T$4))</f>
        <v>0</v>
      </c>
      <c r="U26" s="114" t="n">
        <f aca="false">IF($A26="","",SUMIFS('Expense Log'!$K$5:$K$604,'Expense Log'!$F$5:$F$604,$A26,'Expense Log'!$H$5:$H$604,U$4))</f>
        <v>0</v>
      </c>
      <c r="V26" s="114" t="n">
        <f aca="false">IF($A26="","",SUMIFS('Expense Log'!$K$5:$K$604,'Expense Log'!$F$5:$F$604,$A26,'Expense Log'!$H$5:$H$604,V$4))</f>
        <v>0</v>
      </c>
      <c r="W26" s="114" t="n">
        <f aca="false">IF($A26="","",SUMIFS('Expense Log'!$K$5:$K$604,'Expense Log'!$F$5:$F$604,$A26,'Expense Log'!$H$5:$H$604,W$4))</f>
        <v>0</v>
      </c>
      <c r="X26" s="114" t="n">
        <f aca="false">IF($A26="","",SUMIFS('Expense Log'!$K$5:$K$604,'Expense Log'!$F$5:$F$604,$A26,'Expense Log'!$H$5:$H$604,X$4))</f>
        <v>0</v>
      </c>
      <c r="Y26" s="114" t="n">
        <f aca="false">IF($A26="","",SUMIFS('Expense Log'!$K$5:$K$604,'Expense Log'!$F$5:$F$604,$A26,'Expense Log'!$H$5:$H$604,Y$4))</f>
        <v>0</v>
      </c>
    </row>
    <row r="27" customFormat="false" ht="15" hidden="false" customHeight="false" outlineLevel="0" collapsed="false">
      <c r="A27" s="154" t="str">
        <f aca="false">IF(Budget!A27="","",Budget!A27)</f>
        <v>Family support (sent abroad)</v>
      </c>
      <c r="B27" s="114" t="n">
        <f aca="false">IF(A27="","",Budget!K27)</f>
        <v>0</v>
      </c>
      <c r="C27" s="114" t="n">
        <f aca="false">IF(A27="","",SUMIFS('Expense Log'!$K$5:$K$604,'Expense Log'!$F$5:$F$604,A27,'Expense Log'!$H$5:$H$604,$B$3))</f>
        <v>0</v>
      </c>
      <c r="D27" s="147" t="n">
        <f aca="false">IF(A27="","",C27-B27)</f>
        <v>0</v>
      </c>
      <c r="F27" s="114" t="n">
        <f aca="false">IF($A27="","",SUMIFS('Expense Log'!$K$5:$K$604,'Expense Log'!$F$5:$F$604,$A27,'Expense Log'!$H$5:$H$604,F$4))</f>
        <v>0</v>
      </c>
      <c r="G27" s="114" t="n">
        <f aca="false">IF($A27="","",SUMIFS('Expense Log'!$K$5:$K$604,'Expense Log'!$F$5:$F$604,$A27,'Expense Log'!$H$5:$H$604,G$4))</f>
        <v>0</v>
      </c>
      <c r="H27" s="114" t="n">
        <f aca="false">IF($A27="","",SUMIFS('Expense Log'!$K$5:$K$604,'Expense Log'!$F$5:$F$604,$A27,'Expense Log'!$H$5:$H$604,H$4))</f>
        <v>0</v>
      </c>
      <c r="I27" s="114" t="n">
        <f aca="false">IF($A27="","",SUMIFS('Expense Log'!$K$5:$K$604,'Expense Log'!$F$5:$F$604,$A27,'Expense Log'!$H$5:$H$604,I$4))</f>
        <v>0</v>
      </c>
      <c r="J27" s="114" t="n">
        <f aca="false">IF($A27="","",SUMIFS('Expense Log'!$K$5:$K$604,'Expense Log'!$F$5:$F$604,$A27,'Expense Log'!$H$5:$H$604,J$4))</f>
        <v>0</v>
      </c>
      <c r="K27" s="114" t="n">
        <f aca="false">IF($A27="","",SUMIFS('Expense Log'!$K$5:$K$604,'Expense Log'!$F$5:$F$604,$A27,'Expense Log'!$H$5:$H$604,K$4))</f>
        <v>0</v>
      </c>
      <c r="L27" s="114" t="n">
        <f aca="false">IF($A27="","",SUMIFS('Expense Log'!$K$5:$K$604,'Expense Log'!$F$5:$F$604,$A27,'Expense Log'!$H$5:$H$604,L$4))</f>
        <v>0</v>
      </c>
      <c r="M27" s="114" t="n">
        <f aca="false">IF($A27="","",SUMIFS('Expense Log'!$K$5:$K$604,'Expense Log'!$F$5:$F$604,$A27,'Expense Log'!$H$5:$H$604,M$4))</f>
        <v>0</v>
      </c>
      <c r="N27" s="114" t="n">
        <f aca="false">IF($A27="","",SUMIFS('Expense Log'!$K$5:$K$604,'Expense Log'!$F$5:$F$604,$A27,'Expense Log'!$H$5:$H$604,N$4))</f>
        <v>0</v>
      </c>
      <c r="O27" s="114" t="n">
        <f aca="false">IF($A27="","",SUMIFS('Expense Log'!$K$5:$K$604,'Expense Log'!$F$5:$F$604,$A27,'Expense Log'!$H$5:$H$604,O$4))</f>
        <v>0</v>
      </c>
      <c r="P27" s="114" t="n">
        <f aca="false">IF($A27="","",SUMIFS('Expense Log'!$K$5:$K$604,'Expense Log'!$F$5:$F$604,$A27,'Expense Log'!$H$5:$H$604,P$4))</f>
        <v>0</v>
      </c>
      <c r="Q27" s="114" t="n">
        <f aca="false">IF($A27="","",SUMIFS('Expense Log'!$K$5:$K$604,'Expense Log'!$F$5:$F$604,$A27,'Expense Log'!$H$5:$H$604,Q$4))</f>
        <v>0</v>
      </c>
      <c r="R27" s="114" t="n">
        <f aca="false">IF($A27="","",SUMIFS('Expense Log'!$K$5:$K$604,'Expense Log'!$F$5:$F$604,$A27,'Expense Log'!$H$5:$H$604,R$4))</f>
        <v>0</v>
      </c>
      <c r="S27" s="114" t="n">
        <f aca="false">IF($A27="","",SUMIFS('Expense Log'!$K$5:$K$604,'Expense Log'!$F$5:$F$604,$A27,'Expense Log'!$H$5:$H$604,S$4))</f>
        <v>0</v>
      </c>
      <c r="T27" s="114" t="n">
        <f aca="false">IF($A27="","",SUMIFS('Expense Log'!$K$5:$K$604,'Expense Log'!$F$5:$F$604,$A27,'Expense Log'!$H$5:$H$604,T$4))</f>
        <v>0</v>
      </c>
      <c r="U27" s="114" t="n">
        <f aca="false">IF($A27="","",SUMIFS('Expense Log'!$K$5:$K$604,'Expense Log'!$F$5:$F$604,$A27,'Expense Log'!$H$5:$H$604,U$4))</f>
        <v>0</v>
      </c>
      <c r="V27" s="114" t="n">
        <f aca="false">IF($A27="","",SUMIFS('Expense Log'!$K$5:$K$604,'Expense Log'!$F$5:$F$604,$A27,'Expense Log'!$H$5:$H$604,V$4))</f>
        <v>0</v>
      </c>
      <c r="W27" s="114" t="n">
        <f aca="false">IF($A27="","",SUMIFS('Expense Log'!$K$5:$K$604,'Expense Log'!$F$5:$F$604,$A27,'Expense Log'!$H$5:$H$604,W$4))</f>
        <v>0</v>
      </c>
      <c r="X27" s="114" t="n">
        <f aca="false">IF($A27="","",SUMIFS('Expense Log'!$K$5:$K$604,'Expense Log'!$F$5:$F$604,$A27,'Expense Log'!$H$5:$H$604,X$4))</f>
        <v>0</v>
      </c>
      <c r="Y27" s="114" t="n">
        <f aca="false">IF($A27="","",SUMIFS('Expense Log'!$K$5:$K$604,'Expense Log'!$F$5:$F$604,$A27,'Expense Log'!$H$5:$H$604,Y$4))</f>
        <v>0</v>
      </c>
    </row>
    <row r="28" customFormat="false" ht="15" hidden="false" customHeight="false" outlineLevel="0" collapsed="false">
      <c r="A28" s="154" t="str">
        <f aca="false">IF(Budget!A28="","",Budget!A28)</f>
        <v>Pets</v>
      </c>
      <c r="B28" s="114" t="n">
        <f aca="false">IF(A28="","",Budget!K28)</f>
        <v>0</v>
      </c>
      <c r="C28" s="114" t="n">
        <f aca="false">IF(A28="","",SUMIFS('Expense Log'!$K$5:$K$604,'Expense Log'!$F$5:$F$604,A28,'Expense Log'!$H$5:$H$604,$B$3))</f>
        <v>0</v>
      </c>
      <c r="D28" s="147" t="n">
        <f aca="false">IF(A28="","",C28-B28)</f>
        <v>0</v>
      </c>
      <c r="F28" s="114" t="n">
        <f aca="false">IF($A28="","",SUMIFS('Expense Log'!$K$5:$K$604,'Expense Log'!$F$5:$F$604,$A28,'Expense Log'!$H$5:$H$604,F$4))</f>
        <v>0</v>
      </c>
      <c r="G28" s="114" t="n">
        <f aca="false">IF($A28="","",SUMIFS('Expense Log'!$K$5:$K$604,'Expense Log'!$F$5:$F$604,$A28,'Expense Log'!$H$5:$H$604,G$4))</f>
        <v>0</v>
      </c>
      <c r="H28" s="114" t="n">
        <f aca="false">IF($A28="","",SUMIFS('Expense Log'!$K$5:$K$604,'Expense Log'!$F$5:$F$604,$A28,'Expense Log'!$H$5:$H$604,H$4))</f>
        <v>0</v>
      </c>
      <c r="I28" s="114" t="n">
        <f aca="false">IF($A28="","",SUMIFS('Expense Log'!$K$5:$K$604,'Expense Log'!$F$5:$F$604,$A28,'Expense Log'!$H$5:$H$604,I$4))</f>
        <v>0</v>
      </c>
      <c r="J28" s="114" t="n">
        <f aca="false">IF($A28="","",SUMIFS('Expense Log'!$K$5:$K$604,'Expense Log'!$F$5:$F$604,$A28,'Expense Log'!$H$5:$H$604,J$4))</f>
        <v>0</v>
      </c>
      <c r="K28" s="114" t="n">
        <f aca="false">IF($A28="","",SUMIFS('Expense Log'!$K$5:$K$604,'Expense Log'!$F$5:$F$604,$A28,'Expense Log'!$H$5:$H$604,K$4))</f>
        <v>0</v>
      </c>
      <c r="L28" s="114" t="n">
        <f aca="false">IF($A28="","",SUMIFS('Expense Log'!$K$5:$K$604,'Expense Log'!$F$5:$F$604,$A28,'Expense Log'!$H$5:$H$604,L$4))</f>
        <v>0</v>
      </c>
      <c r="M28" s="114" t="n">
        <f aca="false">IF($A28="","",SUMIFS('Expense Log'!$K$5:$K$604,'Expense Log'!$F$5:$F$604,$A28,'Expense Log'!$H$5:$H$604,M$4))</f>
        <v>0</v>
      </c>
      <c r="N28" s="114" t="n">
        <f aca="false">IF($A28="","",SUMIFS('Expense Log'!$K$5:$K$604,'Expense Log'!$F$5:$F$604,$A28,'Expense Log'!$H$5:$H$604,N$4))</f>
        <v>0</v>
      </c>
      <c r="O28" s="114" t="n">
        <f aca="false">IF($A28="","",SUMIFS('Expense Log'!$K$5:$K$604,'Expense Log'!$F$5:$F$604,$A28,'Expense Log'!$H$5:$H$604,O$4))</f>
        <v>0</v>
      </c>
      <c r="P28" s="114" t="n">
        <f aca="false">IF($A28="","",SUMIFS('Expense Log'!$K$5:$K$604,'Expense Log'!$F$5:$F$604,$A28,'Expense Log'!$H$5:$H$604,P$4))</f>
        <v>0</v>
      </c>
      <c r="Q28" s="114" t="n">
        <f aca="false">IF($A28="","",SUMIFS('Expense Log'!$K$5:$K$604,'Expense Log'!$F$5:$F$604,$A28,'Expense Log'!$H$5:$H$604,Q$4))</f>
        <v>0</v>
      </c>
      <c r="R28" s="114" t="n">
        <f aca="false">IF($A28="","",SUMIFS('Expense Log'!$K$5:$K$604,'Expense Log'!$F$5:$F$604,$A28,'Expense Log'!$H$5:$H$604,R$4))</f>
        <v>0</v>
      </c>
      <c r="S28" s="114" t="n">
        <f aca="false">IF($A28="","",SUMIFS('Expense Log'!$K$5:$K$604,'Expense Log'!$F$5:$F$604,$A28,'Expense Log'!$H$5:$H$604,S$4))</f>
        <v>0</v>
      </c>
      <c r="T28" s="114" t="n">
        <f aca="false">IF($A28="","",SUMIFS('Expense Log'!$K$5:$K$604,'Expense Log'!$F$5:$F$604,$A28,'Expense Log'!$H$5:$H$604,T$4))</f>
        <v>0</v>
      </c>
      <c r="U28" s="114" t="n">
        <f aca="false">IF($A28="","",SUMIFS('Expense Log'!$K$5:$K$604,'Expense Log'!$F$5:$F$604,$A28,'Expense Log'!$H$5:$H$604,U$4))</f>
        <v>0</v>
      </c>
      <c r="V28" s="114" t="n">
        <f aca="false">IF($A28="","",SUMIFS('Expense Log'!$K$5:$K$604,'Expense Log'!$F$5:$F$604,$A28,'Expense Log'!$H$5:$H$604,V$4))</f>
        <v>0</v>
      </c>
      <c r="W28" s="114" t="n">
        <f aca="false">IF($A28="","",SUMIFS('Expense Log'!$K$5:$K$604,'Expense Log'!$F$5:$F$604,$A28,'Expense Log'!$H$5:$H$604,W$4))</f>
        <v>0</v>
      </c>
      <c r="X28" s="114" t="n">
        <f aca="false">IF($A28="","",SUMIFS('Expense Log'!$K$5:$K$604,'Expense Log'!$F$5:$F$604,$A28,'Expense Log'!$H$5:$H$604,X$4))</f>
        <v>0</v>
      </c>
      <c r="Y28" s="114" t="n">
        <f aca="false">IF($A28="","",SUMIFS('Expense Log'!$K$5:$K$604,'Expense Log'!$F$5:$F$604,$A28,'Expense Log'!$H$5:$H$604,Y$4))</f>
        <v>0</v>
      </c>
    </row>
    <row r="29" customFormat="false" ht="15" hidden="false" customHeight="false" outlineLevel="0" collapsed="false">
      <c r="A29" s="154" t="str">
        <f aca="false">IF(Budget!A29="","",Budget!A29)</f>
        <v>Clothing &amp; shoes</v>
      </c>
      <c r="B29" s="114" t="n">
        <f aca="false">IF(A29="","",Budget!K29)</f>
        <v>0</v>
      </c>
      <c r="C29" s="114" t="n">
        <f aca="false">IF(A29="","",SUMIFS('Expense Log'!$K$5:$K$604,'Expense Log'!$F$5:$F$604,A29,'Expense Log'!$H$5:$H$604,$B$3))</f>
        <v>0</v>
      </c>
      <c r="D29" s="147" t="n">
        <f aca="false">IF(A29="","",C29-B29)</f>
        <v>0</v>
      </c>
      <c r="F29" s="114" t="n">
        <f aca="false">IF($A29="","",SUMIFS('Expense Log'!$K$5:$K$604,'Expense Log'!$F$5:$F$604,$A29,'Expense Log'!$H$5:$H$604,F$4))</f>
        <v>0</v>
      </c>
      <c r="G29" s="114" t="n">
        <f aca="false">IF($A29="","",SUMIFS('Expense Log'!$K$5:$K$604,'Expense Log'!$F$5:$F$604,$A29,'Expense Log'!$H$5:$H$604,G$4))</f>
        <v>0</v>
      </c>
      <c r="H29" s="114" t="n">
        <f aca="false">IF($A29="","",SUMIFS('Expense Log'!$K$5:$K$604,'Expense Log'!$F$5:$F$604,$A29,'Expense Log'!$H$5:$H$604,H$4))</f>
        <v>0</v>
      </c>
      <c r="I29" s="114" t="n">
        <f aca="false">IF($A29="","",SUMIFS('Expense Log'!$K$5:$K$604,'Expense Log'!$F$5:$F$604,$A29,'Expense Log'!$H$5:$H$604,I$4))</f>
        <v>0</v>
      </c>
      <c r="J29" s="114" t="n">
        <f aca="false">IF($A29="","",SUMIFS('Expense Log'!$K$5:$K$604,'Expense Log'!$F$5:$F$604,$A29,'Expense Log'!$H$5:$H$604,J$4))</f>
        <v>0</v>
      </c>
      <c r="K29" s="114" t="n">
        <f aca="false">IF($A29="","",SUMIFS('Expense Log'!$K$5:$K$604,'Expense Log'!$F$5:$F$604,$A29,'Expense Log'!$H$5:$H$604,K$4))</f>
        <v>0</v>
      </c>
      <c r="L29" s="114" t="n">
        <f aca="false">IF($A29="","",SUMIFS('Expense Log'!$K$5:$K$604,'Expense Log'!$F$5:$F$604,$A29,'Expense Log'!$H$5:$H$604,L$4))</f>
        <v>0</v>
      </c>
      <c r="M29" s="114" t="n">
        <f aca="false">IF($A29="","",SUMIFS('Expense Log'!$K$5:$K$604,'Expense Log'!$F$5:$F$604,$A29,'Expense Log'!$H$5:$H$604,M$4))</f>
        <v>0</v>
      </c>
      <c r="N29" s="114" t="n">
        <f aca="false">IF($A29="","",SUMIFS('Expense Log'!$K$5:$K$604,'Expense Log'!$F$5:$F$604,$A29,'Expense Log'!$H$5:$H$604,N$4))</f>
        <v>0</v>
      </c>
      <c r="O29" s="114" t="n">
        <f aca="false">IF($A29="","",SUMIFS('Expense Log'!$K$5:$K$604,'Expense Log'!$F$5:$F$604,$A29,'Expense Log'!$H$5:$H$604,O$4))</f>
        <v>0</v>
      </c>
      <c r="P29" s="114" t="n">
        <f aca="false">IF($A29="","",SUMIFS('Expense Log'!$K$5:$K$604,'Expense Log'!$F$5:$F$604,$A29,'Expense Log'!$H$5:$H$604,P$4))</f>
        <v>0</v>
      </c>
      <c r="Q29" s="114" t="n">
        <f aca="false">IF($A29="","",SUMIFS('Expense Log'!$K$5:$K$604,'Expense Log'!$F$5:$F$604,$A29,'Expense Log'!$H$5:$H$604,Q$4))</f>
        <v>0</v>
      </c>
      <c r="R29" s="114" t="n">
        <f aca="false">IF($A29="","",SUMIFS('Expense Log'!$K$5:$K$604,'Expense Log'!$F$5:$F$604,$A29,'Expense Log'!$H$5:$H$604,R$4))</f>
        <v>0</v>
      </c>
      <c r="S29" s="114" t="n">
        <f aca="false">IF($A29="","",SUMIFS('Expense Log'!$K$5:$K$604,'Expense Log'!$F$5:$F$604,$A29,'Expense Log'!$H$5:$H$604,S$4))</f>
        <v>0</v>
      </c>
      <c r="T29" s="114" t="n">
        <f aca="false">IF($A29="","",SUMIFS('Expense Log'!$K$5:$K$604,'Expense Log'!$F$5:$F$604,$A29,'Expense Log'!$H$5:$H$604,T$4))</f>
        <v>0</v>
      </c>
      <c r="U29" s="114" t="n">
        <f aca="false">IF($A29="","",SUMIFS('Expense Log'!$K$5:$K$604,'Expense Log'!$F$5:$F$604,$A29,'Expense Log'!$H$5:$H$604,U$4))</f>
        <v>0</v>
      </c>
      <c r="V29" s="114" t="n">
        <f aca="false">IF($A29="","",SUMIFS('Expense Log'!$K$5:$K$604,'Expense Log'!$F$5:$F$604,$A29,'Expense Log'!$H$5:$H$604,V$4))</f>
        <v>0</v>
      </c>
      <c r="W29" s="114" t="n">
        <f aca="false">IF($A29="","",SUMIFS('Expense Log'!$K$5:$K$604,'Expense Log'!$F$5:$F$604,$A29,'Expense Log'!$H$5:$H$604,W$4))</f>
        <v>0</v>
      </c>
      <c r="X29" s="114" t="n">
        <f aca="false">IF($A29="","",SUMIFS('Expense Log'!$K$5:$K$604,'Expense Log'!$F$5:$F$604,$A29,'Expense Log'!$H$5:$H$604,X$4))</f>
        <v>0</v>
      </c>
      <c r="Y29" s="114" t="n">
        <f aca="false">IF($A29="","",SUMIFS('Expense Log'!$K$5:$K$604,'Expense Log'!$F$5:$F$604,$A29,'Expense Log'!$H$5:$H$604,Y$4))</f>
        <v>0</v>
      </c>
    </row>
    <row r="30" customFormat="false" ht="15" hidden="false" customHeight="false" outlineLevel="0" collapsed="false">
      <c r="A30" s="154" t="str">
        <f aca="false">IF(Budget!A30="","",Budget!A30)</f>
        <v>Entertainment &amp; hobbies</v>
      </c>
      <c r="B30" s="114" t="n">
        <f aca="false">IF(A30="","",Budget!K30)</f>
        <v>0</v>
      </c>
      <c r="C30" s="114" t="n">
        <f aca="false">IF(A30="","",SUMIFS('Expense Log'!$K$5:$K$604,'Expense Log'!$F$5:$F$604,A30,'Expense Log'!$H$5:$H$604,$B$3))</f>
        <v>0</v>
      </c>
      <c r="D30" s="147" t="n">
        <f aca="false">IF(A30="","",C30-B30)</f>
        <v>0</v>
      </c>
      <c r="F30" s="114" t="n">
        <f aca="false">IF($A30="","",SUMIFS('Expense Log'!$K$5:$K$604,'Expense Log'!$F$5:$F$604,$A30,'Expense Log'!$H$5:$H$604,F$4))</f>
        <v>0</v>
      </c>
      <c r="G30" s="114" t="n">
        <f aca="false">IF($A30="","",SUMIFS('Expense Log'!$K$5:$K$604,'Expense Log'!$F$5:$F$604,$A30,'Expense Log'!$H$5:$H$604,G$4))</f>
        <v>0</v>
      </c>
      <c r="H30" s="114" t="n">
        <f aca="false">IF($A30="","",SUMIFS('Expense Log'!$K$5:$K$604,'Expense Log'!$F$5:$F$604,$A30,'Expense Log'!$H$5:$H$604,H$4))</f>
        <v>0</v>
      </c>
      <c r="I30" s="114" t="n">
        <f aca="false">IF($A30="","",SUMIFS('Expense Log'!$K$5:$K$604,'Expense Log'!$F$5:$F$604,$A30,'Expense Log'!$H$5:$H$604,I$4))</f>
        <v>0</v>
      </c>
      <c r="J30" s="114" t="n">
        <f aca="false">IF($A30="","",SUMIFS('Expense Log'!$K$5:$K$604,'Expense Log'!$F$5:$F$604,$A30,'Expense Log'!$H$5:$H$604,J$4))</f>
        <v>0</v>
      </c>
      <c r="K30" s="114" t="n">
        <f aca="false">IF($A30="","",SUMIFS('Expense Log'!$K$5:$K$604,'Expense Log'!$F$5:$F$604,$A30,'Expense Log'!$H$5:$H$604,K$4))</f>
        <v>0</v>
      </c>
      <c r="L30" s="114" t="n">
        <f aca="false">IF($A30="","",SUMIFS('Expense Log'!$K$5:$K$604,'Expense Log'!$F$5:$F$604,$A30,'Expense Log'!$H$5:$H$604,L$4))</f>
        <v>0</v>
      </c>
      <c r="M30" s="114" t="n">
        <f aca="false">IF($A30="","",SUMIFS('Expense Log'!$K$5:$K$604,'Expense Log'!$F$5:$F$604,$A30,'Expense Log'!$H$5:$H$604,M$4))</f>
        <v>0</v>
      </c>
      <c r="N30" s="114" t="n">
        <f aca="false">IF($A30="","",SUMIFS('Expense Log'!$K$5:$K$604,'Expense Log'!$F$5:$F$604,$A30,'Expense Log'!$H$5:$H$604,N$4))</f>
        <v>0</v>
      </c>
      <c r="O30" s="114" t="n">
        <f aca="false">IF($A30="","",SUMIFS('Expense Log'!$K$5:$K$604,'Expense Log'!$F$5:$F$604,$A30,'Expense Log'!$H$5:$H$604,O$4))</f>
        <v>0</v>
      </c>
      <c r="P30" s="114" t="n">
        <f aca="false">IF($A30="","",SUMIFS('Expense Log'!$K$5:$K$604,'Expense Log'!$F$5:$F$604,$A30,'Expense Log'!$H$5:$H$604,P$4))</f>
        <v>0</v>
      </c>
      <c r="Q30" s="114" t="n">
        <f aca="false">IF($A30="","",SUMIFS('Expense Log'!$K$5:$K$604,'Expense Log'!$F$5:$F$604,$A30,'Expense Log'!$H$5:$H$604,Q$4))</f>
        <v>0</v>
      </c>
      <c r="R30" s="114" t="n">
        <f aca="false">IF($A30="","",SUMIFS('Expense Log'!$K$5:$K$604,'Expense Log'!$F$5:$F$604,$A30,'Expense Log'!$H$5:$H$604,R$4))</f>
        <v>0</v>
      </c>
      <c r="S30" s="114" t="n">
        <f aca="false">IF($A30="","",SUMIFS('Expense Log'!$K$5:$K$604,'Expense Log'!$F$5:$F$604,$A30,'Expense Log'!$H$5:$H$604,S$4))</f>
        <v>0</v>
      </c>
      <c r="T30" s="114" t="n">
        <f aca="false">IF($A30="","",SUMIFS('Expense Log'!$K$5:$K$604,'Expense Log'!$F$5:$F$604,$A30,'Expense Log'!$H$5:$H$604,T$4))</f>
        <v>0</v>
      </c>
      <c r="U30" s="114" t="n">
        <f aca="false">IF($A30="","",SUMIFS('Expense Log'!$K$5:$K$604,'Expense Log'!$F$5:$F$604,$A30,'Expense Log'!$H$5:$H$604,U$4))</f>
        <v>0</v>
      </c>
      <c r="V30" s="114" t="n">
        <f aca="false">IF($A30="","",SUMIFS('Expense Log'!$K$5:$K$604,'Expense Log'!$F$5:$F$604,$A30,'Expense Log'!$H$5:$H$604,V$4))</f>
        <v>0</v>
      </c>
      <c r="W30" s="114" t="n">
        <f aca="false">IF($A30="","",SUMIFS('Expense Log'!$K$5:$K$604,'Expense Log'!$F$5:$F$604,$A30,'Expense Log'!$H$5:$H$604,W$4))</f>
        <v>0</v>
      </c>
      <c r="X30" s="114" t="n">
        <f aca="false">IF($A30="","",SUMIFS('Expense Log'!$K$5:$K$604,'Expense Log'!$F$5:$F$604,$A30,'Expense Log'!$H$5:$H$604,X$4))</f>
        <v>0</v>
      </c>
      <c r="Y30" s="114" t="n">
        <f aca="false">IF($A30="","",SUMIFS('Expense Log'!$K$5:$K$604,'Expense Log'!$F$5:$F$604,$A30,'Expense Log'!$H$5:$H$604,Y$4))</f>
        <v>0</v>
      </c>
    </row>
    <row r="31" customFormat="false" ht="15" hidden="false" customHeight="false" outlineLevel="0" collapsed="false">
      <c r="A31" s="154" t="str">
        <f aca="false">IF(Budget!A31="","",Budget!A31)</f>
        <v>Gifts</v>
      </c>
      <c r="B31" s="114" t="n">
        <f aca="false">IF(A31="","",Budget!K31)</f>
        <v>0</v>
      </c>
      <c r="C31" s="114" t="n">
        <f aca="false">IF(A31="","",SUMIFS('Expense Log'!$K$5:$K$604,'Expense Log'!$F$5:$F$604,A31,'Expense Log'!$H$5:$H$604,$B$3))</f>
        <v>0</v>
      </c>
      <c r="D31" s="147" t="n">
        <f aca="false">IF(A31="","",C31-B31)</f>
        <v>0</v>
      </c>
      <c r="F31" s="114" t="n">
        <f aca="false">IF($A31="","",SUMIFS('Expense Log'!$K$5:$K$604,'Expense Log'!$F$5:$F$604,$A31,'Expense Log'!$H$5:$H$604,F$4))</f>
        <v>0</v>
      </c>
      <c r="G31" s="114" t="n">
        <f aca="false">IF($A31="","",SUMIFS('Expense Log'!$K$5:$K$604,'Expense Log'!$F$5:$F$604,$A31,'Expense Log'!$H$5:$H$604,G$4))</f>
        <v>0</v>
      </c>
      <c r="H31" s="114" t="n">
        <f aca="false">IF($A31="","",SUMIFS('Expense Log'!$K$5:$K$604,'Expense Log'!$F$5:$F$604,$A31,'Expense Log'!$H$5:$H$604,H$4))</f>
        <v>0</v>
      </c>
      <c r="I31" s="114" t="n">
        <f aca="false">IF($A31="","",SUMIFS('Expense Log'!$K$5:$K$604,'Expense Log'!$F$5:$F$604,$A31,'Expense Log'!$H$5:$H$604,I$4))</f>
        <v>0</v>
      </c>
      <c r="J31" s="114" t="n">
        <f aca="false">IF($A31="","",SUMIFS('Expense Log'!$K$5:$K$604,'Expense Log'!$F$5:$F$604,$A31,'Expense Log'!$H$5:$H$604,J$4))</f>
        <v>0</v>
      </c>
      <c r="K31" s="114" t="n">
        <f aca="false">IF($A31="","",SUMIFS('Expense Log'!$K$5:$K$604,'Expense Log'!$F$5:$F$604,$A31,'Expense Log'!$H$5:$H$604,K$4))</f>
        <v>0</v>
      </c>
      <c r="L31" s="114" t="n">
        <f aca="false">IF($A31="","",SUMIFS('Expense Log'!$K$5:$K$604,'Expense Log'!$F$5:$F$604,$A31,'Expense Log'!$H$5:$H$604,L$4))</f>
        <v>0</v>
      </c>
      <c r="M31" s="114" t="n">
        <f aca="false">IF($A31="","",SUMIFS('Expense Log'!$K$5:$K$604,'Expense Log'!$F$5:$F$604,$A31,'Expense Log'!$H$5:$H$604,M$4))</f>
        <v>0</v>
      </c>
      <c r="N31" s="114" t="n">
        <f aca="false">IF($A31="","",SUMIFS('Expense Log'!$K$5:$K$604,'Expense Log'!$F$5:$F$604,$A31,'Expense Log'!$H$5:$H$604,N$4))</f>
        <v>0</v>
      </c>
      <c r="O31" s="114" t="n">
        <f aca="false">IF($A31="","",SUMIFS('Expense Log'!$K$5:$K$604,'Expense Log'!$F$5:$F$604,$A31,'Expense Log'!$H$5:$H$604,O$4))</f>
        <v>0</v>
      </c>
      <c r="P31" s="114" t="n">
        <f aca="false">IF($A31="","",SUMIFS('Expense Log'!$K$5:$K$604,'Expense Log'!$F$5:$F$604,$A31,'Expense Log'!$H$5:$H$604,P$4))</f>
        <v>0</v>
      </c>
      <c r="Q31" s="114" t="n">
        <f aca="false">IF($A31="","",SUMIFS('Expense Log'!$K$5:$K$604,'Expense Log'!$F$5:$F$604,$A31,'Expense Log'!$H$5:$H$604,Q$4))</f>
        <v>0</v>
      </c>
      <c r="R31" s="114" t="n">
        <f aca="false">IF($A31="","",SUMIFS('Expense Log'!$K$5:$K$604,'Expense Log'!$F$5:$F$604,$A31,'Expense Log'!$H$5:$H$604,R$4))</f>
        <v>0</v>
      </c>
      <c r="S31" s="114" t="n">
        <f aca="false">IF($A31="","",SUMIFS('Expense Log'!$K$5:$K$604,'Expense Log'!$F$5:$F$604,$A31,'Expense Log'!$H$5:$H$604,S$4))</f>
        <v>0</v>
      </c>
      <c r="T31" s="114" t="n">
        <f aca="false">IF($A31="","",SUMIFS('Expense Log'!$K$5:$K$604,'Expense Log'!$F$5:$F$604,$A31,'Expense Log'!$H$5:$H$604,T$4))</f>
        <v>0</v>
      </c>
      <c r="U31" s="114" t="n">
        <f aca="false">IF($A31="","",SUMIFS('Expense Log'!$K$5:$K$604,'Expense Log'!$F$5:$F$604,$A31,'Expense Log'!$H$5:$H$604,U$4))</f>
        <v>0</v>
      </c>
      <c r="V31" s="114" t="n">
        <f aca="false">IF($A31="","",SUMIFS('Expense Log'!$K$5:$K$604,'Expense Log'!$F$5:$F$604,$A31,'Expense Log'!$H$5:$H$604,V$4))</f>
        <v>0</v>
      </c>
      <c r="W31" s="114" t="n">
        <f aca="false">IF($A31="","",SUMIFS('Expense Log'!$K$5:$K$604,'Expense Log'!$F$5:$F$604,$A31,'Expense Log'!$H$5:$H$604,W$4))</f>
        <v>0</v>
      </c>
      <c r="X31" s="114" t="n">
        <f aca="false">IF($A31="","",SUMIFS('Expense Log'!$K$5:$K$604,'Expense Log'!$F$5:$F$604,$A31,'Expense Log'!$H$5:$H$604,X$4))</f>
        <v>0</v>
      </c>
      <c r="Y31" s="114" t="n">
        <f aca="false">IF($A31="","",SUMIFS('Expense Log'!$K$5:$K$604,'Expense Log'!$F$5:$F$604,$A31,'Expense Log'!$H$5:$H$604,Y$4))</f>
        <v>0</v>
      </c>
    </row>
    <row r="32" customFormat="false" ht="15" hidden="false" customHeight="false" outlineLevel="0" collapsed="false">
      <c r="A32" s="154" t="str">
        <f aca="false">IF(Budget!A32="","",Budget!A32)</f>
        <v>Credit-card payment</v>
      </c>
      <c r="B32" s="114" t="n">
        <f aca="false">IF(A32="","",Budget!K32)</f>
        <v>0</v>
      </c>
      <c r="C32" s="114" t="n">
        <f aca="false">IF(A32="","",SUMIFS('Expense Log'!$K$5:$K$604,'Expense Log'!$F$5:$F$604,A32,'Expense Log'!$H$5:$H$604,$B$3))</f>
        <v>0</v>
      </c>
      <c r="D32" s="147" t="n">
        <f aca="false">IF(A32="","",C32-B32)</f>
        <v>0</v>
      </c>
      <c r="F32" s="114" t="n">
        <f aca="false">IF($A32="","",SUMIFS('Expense Log'!$K$5:$K$604,'Expense Log'!$F$5:$F$604,$A32,'Expense Log'!$H$5:$H$604,F$4))</f>
        <v>0</v>
      </c>
      <c r="G32" s="114" t="n">
        <f aca="false">IF($A32="","",SUMIFS('Expense Log'!$K$5:$K$604,'Expense Log'!$F$5:$F$604,$A32,'Expense Log'!$H$5:$H$604,G$4))</f>
        <v>0</v>
      </c>
      <c r="H32" s="114" t="n">
        <f aca="false">IF($A32="","",SUMIFS('Expense Log'!$K$5:$K$604,'Expense Log'!$F$5:$F$604,$A32,'Expense Log'!$H$5:$H$604,H$4))</f>
        <v>0</v>
      </c>
      <c r="I32" s="114" t="n">
        <f aca="false">IF($A32="","",SUMIFS('Expense Log'!$K$5:$K$604,'Expense Log'!$F$5:$F$604,$A32,'Expense Log'!$H$5:$H$604,I$4))</f>
        <v>0</v>
      </c>
      <c r="J32" s="114" t="n">
        <f aca="false">IF($A32="","",SUMIFS('Expense Log'!$K$5:$K$604,'Expense Log'!$F$5:$F$604,$A32,'Expense Log'!$H$5:$H$604,J$4))</f>
        <v>0</v>
      </c>
      <c r="K32" s="114" t="n">
        <f aca="false">IF($A32="","",SUMIFS('Expense Log'!$K$5:$K$604,'Expense Log'!$F$5:$F$604,$A32,'Expense Log'!$H$5:$H$604,K$4))</f>
        <v>0</v>
      </c>
      <c r="L32" s="114" t="n">
        <f aca="false">IF($A32="","",SUMIFS('Expense Log'!$K$5:$K$604,'Expense Log'!$F$5:$F$604,$A32,'Expense Log'!$H$5:$H$604,L$4))</f>
        <v>0</v>
      </c>
      <c r="M32" s="114" t="n">
        <f aca="false">IF($A32="","",SUMIFS('Expense Log'!$K$5:$K$604,'Expense Log'!$F$5:$F$604,$A32,'Expense Log'!$H$5:$H$604,M$4))</f>
        <v>0</v>
      </c>
      <c r="N32" s="114" t="n">
        <f aca="false">IF($A32="","",SUMIFS('Expense Log'!$K$5:$K$604,'Expense Log'!$F$5:$F$604,$A32,'Expense Log'!$H$5:$H$604,N$4))</f>
        <v>0</v>
      </c>
      <c r="O32" s="114" t="n">
        <f aca="false">IF($A32="","",SUMIFS('Expense Log'!$K$5:$K$604,'Expense Log'!$F$5:$F$604,$A32,'Expense Log'!$H$5:$H$604,O$4))</f>
        <v>0</v>
      </c>
      <c r="P32" s="114" t="n">
        <f aca="false">IF($A32="","",SUMIFS('Expense Log'!$K$5:$K$604,'Expense Log'!$F$5:$F$604,$A32,'Expense Log'!$H$5:$H$604,P$4))</f>
        <v>0</v>
      </c>
      <c r="Q32" s="114" t="n">
        <f aca="false">IF($A32="","",SUMIFS('Expense Log'!$K$5:$K$604,'Expense Log'!$F$5:$F$604,$A32,'Expense Log'!$H$5:$H$604,Q$4))</f>
        <v>0</v>
      </c>
      <c r="R32" s="114" t="n">
        <f aca="false">IF($A32="","",SUMIFS('Expense Log'!$K$5:$K$604,'Expense Log'!$F$5:$F$604,$A32,'Expense Log'!$H$5:$H$604,R$4))</f>
        <v>0</v>
      </c>
      <c r="S32" s="114" t="n">
        <f aca="false">IF($A32="","",SUMIFS('Expense Log'!$K$5:$K$604,'Expense Log'!$F$5:$F$604,$A32,'Expense Log'!$H$5:$H$604,S$4))</f>
        <v>0</v>
      </c>
      <c r="T32" s="114" t="n">
        <f aca="false">IF($A32="","",SUMIFS('Expense Log'!$K$5:$K$604,'Expense Log'!$F$5:$F$604,$A32,'Expense Log'!$H$5:$H$604,T$4))</f>
        <v>0</v>
      </c>
      <c r="U32" s="114" t="n">
        <f aca="false">IF($A32="","",SUMIFS('Expense Log'!$K$5:$K$604,'Expense Log'!$F$5:$F$604,$A32,'Expense Log'!$H$5:$H$604,U$4))</f>
        <v>0</v>
      </c>
      <c r="V32" s="114" t="n">
        <f aca="false">IF($A32="","",SUMIFS('Expense Log'!$K$5:$K$604,'Expense Log'!$F$5:$F$604,$A32,'Expense Log'!$H$5:$H$604,V$4))</f>
        <v>0</v>
      </c>
      <c r="W32" s="114" t="n">
        <f aca="false">IF($A32="","",SUMIFS('Expense Log'!$K$5:$K$604,'Expense Log'!$F$5:$F$604,$A32,'Expense Log'!$H$5:$H$604,W$4))</f>
        <v>0</v>
      </c>
      <c r="X32" s="114" t="n">
        <f aca="false">IF($A32="","",SUMIFS('Expense Log'!$K$5:$K$604,'Expense Log'!$F$5:$F$604,$A32,'Expense Log'!$H$5:$H$604,X$4))</f>
        <v>0</v>
      </c>
      <c r="Y32" s="114" t="n">
        <f aca="false">IF($A32="","",SUMIFS('Expense Log'!$K$5:$K$604,'Expense Log'!$F$5:$F$604,$A32,'Expense Log'!$H$5:$H$604,Y$4))</f>
        <v>0</v>
      </c>
    </row>
    <row r="33" customFormat="false" ht="15" hidden="false" customHeight="false" outlineLevel="0" collapsed="false">
      <c r="A33" s="154" t="str">
        <f aca="false">IF(Budget!A33="","",Budget!A33)</f>
        <v>Student loan</v>
      </c>
      <c r="B33" s="114" t="n">
        <f aca="false">IF(A33="","",Budget!K33)</f>
        <v>0</v>
      </c>
      <c r="C33" s="114" t="n">
        <f aca="false">IF(A33="","",SUMIFS('Expense Log'!$K$5:$K$604,'Expense Log'!$F$5:$F$604,A33,'Expense Log'!$H$5:$H$604,$B$3))</f>
        <v>0</v>
      </c>
      <c r="D33" s="147" t="n">
        <f aca="false">IF(A33="","",C33-B33)</f>
        <v>0</v>
      </c>
      <c r="F33" s="114" t="n">
        <f aca="false">IF($A33="","",SUMIFS('Expense Log'!$K$5:$K$604,'Expense Log'!$F$5:$F$604,$A33,'Expense Log'!$H$5:$H$604,F$4))</f>
        <v>0</v>
      </c>
      <c r="G33" s="114" t="n">
        <f aca="false">IF($A33="","",SUMIFS('Expense Log'!$K$5:$K$604,'Expense Log'!$F$5:$F$604,$A33,'Expense Log'!$H$5:$H$604,G$4))</f>
        <v>0</v>
      </c>
      <c r="H33" s="114" t="n">
        <f aca="false">IF($A33="","",SUMIFS('Expense Log'!$K$5:$K$604,'Expense Log'!$F$5:$F$604,$A33,'Expense Log'!$H$5:$H$604,H$4))</f>
        <v>0</v>
      </c>
      <c r="I33" s="114" t="n">
        <f aca="false">IF($A33="","",SUMIFS('Expense Log'!$K$5:$K$604,'Expense Log'!$F$5:$F$604,$A33,'Expense Log'!$H$5:$H$604,I$4))</f>
        <v>0</v>
      </c>
      <c r="J33" s="114" t="n">
        <f aca="false">IF($A33="","",SUMIFS('Expense Log'!$K$5:$K$604,'Expense Log'!$F$5:$F$604,$A33,'Expense Log'!$H$5:$H$604,J$4))</f>
        <v>0</v>
      </c>
      <c r="K33" s="114" t="n">
        <f aca="false">IF($A33="","",SUMIFS('Expense Log'!$K$5:$K$604,'Expense Log'!$F$5:$F$604,$A33,'Expense Log'!$H$5:$H$604,K$4))</f>
        <v>0</v>
      </c>
      <c r="L33" s="114" t="n">
        <f aca="false">IF($A33="","",SUMIFS('Expense Log'!$K$5:$K$604,'Expense Log'!$F$5:$F$604,$A33,'Expense Log'!$H$5:$H$604,L$4))</f>
        <v>0</v>
      </c>
      <c r="M33" s="114" t="n">
        <f aca="false">IF($A33="","",SUMIFS('Expense Log'!$K$5:$K$604,'Expense Log'!$F$5:$F$604,$A33,'Expense Log'!$H$5:$H$604,M$4))</f>
        <v>0</v>
      </c>
      <c r="N33" s="114" t="n">
        <f aca="false">IF($A33="","",SUMIFS('Expense Log'!$K$5:$K$604,'Expense Log'!$F$5:$F$604,$A33,'Expense Log'!$H$5:$H$604,N$4))</f>
        <v>0</v>
      </c>
      <c r="O33" s="114" t="n">
        <f aca="false">IF($A33="","",SUMIFS('Expense Log'!$K$5:$K$604,'Expense Log'!$F$5:$F$604,$A33,'Expense Log'!$H$5:$H$604,O$4))</f>
        <v>0</v>
      </c>
      <c r="P33" s="114" t="n">
        <f aca="false">IF($A33="","",SUMIFS('Expense Log'!$K$5:$K$604,'Expense Log'!$F$5:$F$604,$A33,'Expense Log'!$H$5:$H$604,P$4))</f>
        <v>0</v>
      </c>
      <c r="Q33" s="114" t="n">
        <f aca="false">IF($A33="","",SUMIFS('Expense Log'!$K$5:$K$604,'Expense Log'!$F$5:$F$604,$A33,'Expense Log'!$H$5:$H$604,Q$4))</f>
        <v>0</v>
      </c>
      <c r="R33" s="114" t="n">
        <f aca="false">IF($A33="","",SUMIFS('Expense Log'!$K$5:$K$604,'Expense Log'!$F$5:$F$604,$A33,'Expense Log'!$H$5:$H$604,R$4))</f>
        <v>0</v>
      </c>
      <c r="S33" s="114" t="n">
        <f aca="false">IF($A33="","",SUMIFS('Expense Log'!$K$5:$K$604,'Expense Log'!$F$5:$F$604,$A33,'Expense Log'!$H$5:$H$604,S$4))</f>
        <v>0</v>
      </c>
      <c r="T33" s="114" t="n">
        <f aca="false">IF($A33="","",SUMIFS('Expense Log'!$K$5:$K$604,'Expense Log'!$F$5:$F$604,$A33,'Expense Log'!$H$5:$H$604,T$4))</f>
        <v>0</v>
      </c>
      <c r="U33" s="114" t="n">
        <f aca="false">IF($A33="","",SUMIFS('Expense Log'!$K$5:$K$604,'Expense Log'!$F$5:$F$604,$A33,'Expense Log'!$H$5:$H$604,U$4))</f>
        <v>0</v>
      </c>
      <c r="V33" s="114" t="n">
        <f aca="false">IF($A33="","",SUMIFS('Expense Log'!$K$5:$K$604,'Expense Log'!$F$5:$F$604,$A33,'Expense Log'!$H$5:$H$604,V$4))</f>
        <v>0</v>
      </c>
      <c r="W33" s="114" t="n">
        <f aca="false">IF($A33="","",SUMIFS('Expense Log'!$K$5:$K$604,'Expense Log'!$F$5:$F$604,$A33,'Expense Log'!$H$5:$H$604,W$4))</f>
        <v>0</v>
      </c>
      <c r="X33" s="114" t="n">
        <f aca="false">IF($A33="","",SUMIFS('Expense Log'!$K$5:$K$604,'Expense Log'!$F$5:$F$604,$A33,'Expense Log'!$H$5:$H$604,X$4))</f>
        <v>0</v>
      </c>
      <c r="Y33" s="114" t="n">
        <f aca="false">IF($A33="","",SUMIFS('Expense Log'!$K$5:$K$604,'Expense Log'!$F$5:$F$604,$A33,'Expense Log'!$H$5:$H$604,Y$4))</f>
        <v>0</v>
      </c>
    </row>
    <row r="34" customFormat="false" ht="15" hidden="false" customHeight="false" outlineLevel="0" collapsed="false">
      <c r="A34" s="154" t="str">
        <f aca="false">IF(Budget!A34="","",Budget!A34)</f>
        <v>Unplanned / other</v>
      </c>
      <c r="B34" s="114" t="n">
        <f aca="false">IF(A34="","",Budget!K34)</f>
        <v>0</v>
      </c>
      <c r="C34" s="114" t="n">
        <f aca="false">IF(A34="","",SUMIFS('Expense Log'!$K$5:$K$604,'Expense Log'!$F$5:$F$604,A34,'Expense Log'!$H$5:$H$604,$B$3))</f>
        <v>0</v>
      </c>
      <c r="D34" s="147" t="n">
        <f aca="false">IF(A34="","",C34-B34)</f>
        <v>0</v>
      </c>
      <c r="F34" s="114" t="n">
        <f aca="false">IF($A34="","",SUMIFS('Expense Log'!$K$5:$K$604,'Expense Log'!$F$5:$F$604,$A34,'Expense Log'!$H$5:$H$604,F$4))</f>
        <v>0</v>
      </c>
      <c r="G34" s="114" t="n">
        <f aca="false">IF($A34="","",SUMIFS('Expense Log'!$K$5:$K$604,'Expense Log'!$F$5:$F$604,$A34,'Expense Log'!$H$5:$H$604,G$4))</f>
        <v>0</v>
      </c>
      <c r="H34" s="114" t="n">
        <f aca="false">IF($A34="","",SUMIFS('Expense Log'!$K$5:$K$604,'Expense Log'!$F$5:$F$604,$A34,'Expense Log'!$H$5:$H$604,H$4))</f>
        <v>0</v>
      </c>
      <c r="I34" s="114" t="n">
        <f aca="false">IF($A34="","",SUMIFS('Expense Log'!$K$5:$K$604,'Expense Log'!$F$5:$F$604,$A34,'Expense Log'!$H$5:$H$604,I$4))</f>
        <v>0</v>
      </c>
      <c r="J34" s="114" t="n">
        <f aca="false">IF($A34="","",SUMIFS('Expense Log'!$K$5:$K$604,'Expense Log'!$F$5:$F$604,$A34,'Expense Log'!$H$5:$H$604,J$4))</f>
        <v>0</v>
      </c>
      <c r="K34" s="114" t="n">
        <f aca="false">IF($A34="","",SUMIFS('Expense Log'!$K$5:$K$604,'Expense Log'!$F$5:$F$604,$A34,'Expense Log'!$H$5:$H$604,K$4))</f>
        <v>0</v>
      </c>
      <c r="L34" s="114" t="n">
        <f aca="false">IF($A34="","",SUMIFS('Expense Log'!$K$5:$K$604,'Expense Log'!$F$5:$F$604,$A34,'Expense Log'!$H$5:$H$604,L$4))</f>
        <v>0</v>
      </c>
      <c r="M34" s="114" t="n">
        <f aca="false">IF($A34="","",SUMIFS('Expense Log'!$K$5:$K$604,'Expense Log'!$F$5:$F$604,$A34,'Expense Log'!$H$5:$H$604,M$4))</f>
        <v>0</v>
      </c>
      <c r="N34" s="114" t="n">
        <f aca="false">IF($A34="","",SUMIFS('Expense Log'!$K$5:$K$604,'Expense Log'!$F$5:$F$604,$A34,'Expense Log'!$H$5:$H$604,N$4))</f>
        <v>0</v>
      </c>
      <c r="O34" s="114" t="n">
        <f aca="false">IF($A34="","",SUMIFS('Expense Log'!$K$5:$K$604,'Expense Log'!$F$5:$F$604,$A34,'Expense Log'!$H$5:$H$604,O$4))</f>
        <v>0</v>
      </c>
      <c r="P34" s="114" t="n">
        <f aca="false">IF($A34="","",SUMIFS('Expense Log'!$K$5:$K$604,'Expense Log'!$F$5:$F$604,$A34,'Expense Log'!$H$5:$H$604,P$4))</f>
        <v>0</v>
      </c>
      <c r="Q34" s="114" t="n">
        <f aca="false">IF($A34="","",SUMIFS('Expense Log'!$K$5:$K$604,'Expense Log'!$F$5:$F$604,$A34,'Expense Log'!$H$5:$H$604,Q$4))</f>
        <v>0</v>
      </c>
      <c r="R34" s="114" t="n">
        <f aca="false">IF($A34="","",SUMIFS('Expense Log'!$K$5:$K$604,'Expense Log'!$F$5:$F$604,$A34,'Expense Log'!$H$5:$H$604,R$4))</f>
        <v>0</v>
      </c>
      <c r="S34" s="114" t="n">
        <f aca="false">IF($A34="","",SUMIFS('Expense Log'!$K$5:$K$604,'Expense Log'!$F$5:$F$604,$A34,'Expense Log'!$H$5:$H$604,S$4))</f>
        <v>0</v>
      </c>
      <c r="T34" s="114" t="n">
        <f aca="false">IF($A34="","",SUMIFS('Expense Log'!$K$5:$K$604,'Expense Log'!$F$5:$F$604,$A34,'Expense Log'!$H$5:$H$604,T$4))</f>
        <v>0</v>
      </c>
      <c r="U34" s="114" t="n">
        <f aca="false">IF($A34="","",SUMIFS('Expense Log'!$K$5:$K$604,'Expense Log'!$F$5:$F$604,$A34,'Expense Log'!$H$5:$H$604,U$4))</f>
        <v>0</v>
      </c>
      <c r="V34" s="114" t="n">
        <f aca="false">IF($A34="","",SUMIFS('Expense Log'!$K$5:$K$604,'Expense Log'!$F$5:$F$604,$A34,'Expense Log'!$H$5:$H$604,V$4))</f>
        <v>0</v>
      </c>
      <c r="W34" s="114" t="n">
        <f aca="false">IF($A34="","",SUMIFS('Expense Log'!$K$5:$K$604,'Expense Log'!$F$5:$F$604,$A34,'Expense Log'!$H$5:$H$604,W$4))</f>
        <v>0</v>
      </c>
      <c r="X34" s="114" t="n">
        <f aca="false">IF($A34="","",SUMIFS('Expense Log'!$K$5:$K$604,'Expense Log'!$F$5:$F$604,$A34,'Expense Log'!$H$5:$H$604,X$4))</f>
        <v>0</v>
      </c>
      <c r="Y34" s="114" t="n">
        <f aca="false">IF($A34="","",SUMIFS('Expense Log'!$K$5:$K$604,'Expense Log'!$F$5:$F$604,$A34,'Expense Log'!$H$5:$H$604,Y$4))</f>
        <v>0</v>
      </c>
    </row>
    <row r="35" customFormat="false" ht="15" hidden="false" customHeight="false" outlineLevel="0" collapsed="false">
      <c r="A35" s="150" t="s">
        <v>1107</v>
      </c>
      <c r="B35" s="147" t="n">
        <v>0</v>
      </c>
      <c r="C35" s="114" t="n">
        <f aca="false">SUMIFS('Expense Log'!$K$5:$K$604,'Expense Log'!$F$5:$F$604,"Uncategorized",'Expense Log'!$H$5:$H$604,$B$3)</f>
        <v>0</v>
      </c>
      <c r="D35" s="147" t="n">
        <f aca="false">C35-B35</f>
        <v>0</v>
      </c>
      <c r="F35" s="114" t="n">
        <f aca="false">SUMIFS('Expense Log'!$K$5:$K$604,'Expense Log'!$F$5:$F$604,"Uncategorized",'Expense Log'!$H$5:$H$604,F$4)</f>
        <v>0</v>
      </c>
      <c r="G35" s="114" t="n">
        <f aca="false">SUMIFS('Expense Log'!$K$5:$K$604,'Expense Log'!$F$5:$F$604,"Uncategorized",'Expense Log'!$H$5:$H$604,G$4)</f>
        <v>0</v>
      </c>
      <c r="H35" s="114" t="n">
        <f aca="false">SUMIFS('Expense Log'!$K$5:$K$604,'Expense Log'!$F$5:$F$604,"Uncategorized",'Expense Log'!$H$5:$H$604,H$4)</f>
        <v>0</v>
      </c>
      <c r="I35" s="114" t="n">
        <f aca="false">SUMIFS('Expense Log'!$K$5:$K$604,'Expense Log'!$F$5:$F$604,"Uncategorized",'Expense Log'!$H$5:$H$604,I$4)</f>
        <v>0</v>
      </c>
      <c r="J35" s="114" t="n">
        <f aca="false">SUMIFS('Expense Log'!$K$5:$K$604,'Expense Log'!$F$5:$F$604,"Uncategorized",'Expense Log'!$H$5:$H$604,J$4)</f>
        <v>0</v>
      </c>
      <c r="K35" s="114" t="n">
        <f aca="false">SUMIFS('Expense Log'!$K$5:$K$604,'Expense Log'!$F$5:$F$604,"Uncategorized",'Expense Log'!$H$5:$H$604,K$4)</f>
        <v>0</v>
      </c>
      <c r="L35" s="114" t="n">
        <f aca="false">SUMIFS('Expense Log'!$K$5:$K$604,'Expense Log'!$F$5:$F$604,"Uncategorized",'Expense Log'!$H$5:$H$604,L$4)</f>
        <v>0</v>
      </c>
      <c r="M35" s="114" t="n">
        <f aca="false">SUMIFS('Expense Log'!$K$5:$K$604,'Expense Log'!$F$5:$F$604,"Uncategorized",'Expense Log'!$H$5:$H$604,M$4)</f>
        <v>0</v>
      </c>
      <c r="N35" s="114" t="n">
        <f aca="false">SUMIFS('Expense Log'!$K$5:$K$604,'Expense Log'!$F$5:$F$604,"Uncategorized",'Expense Log'!$H$5:$H$604,N$4)</f>
        <v>0</v>
      </c>
      <c r="O35" s="114" t="n">
        <f aca="false">SUMIFS('Expense Log'!$K$5:$K$604,'Expense Log'!$F$5:$F$604,"Uncategorized",'Expense Log'!$H$5:$H$604,O$4)</f>
        <v>0</v>
      </c>
      <c r="P35" s="114" t="n">
        <f aca="false">SUMIFS('Expense Log'!$K$5:$K$604,'Expense Log'!$F$5:$F$604,"Uncategorized",'Expense Log'!$H$5:$H$604,P$4)</f>
        <v>0</v>
      </c>
      <c r="Q35" s="114" t="n">
        <f aca="false">SUMIFS('Expense Log'!$K$5:$K$604,'Expense Log'!$F$5:$F$604,"Uncategorized",'Expense Log'!$H$5:$H$604,Q$4)</f>
        <v>0</v>
      </c>
      <c r="R35" s="114" t="n">
        <f aca="false">SUMIFS('Expense Log'!$K$5:$K$604,'Expense Log'!$F$5:$F$604,"Uncategorized",'Expense Log'!$H$5:$H$604,R$4)</f>
        <v>0</v>
      </c>
      <c r="S35" s="114" t="n">
        <f aca="false">SUMIFS('Expense Log'!$K$5:$K$604,'Expense Log'!$F$5:$F$604,"Uncategorized",'Expense Log'!$H$5:$H$604,S$4)</f>
        <v>0</v>
      </c>
      <c r="T35" s="114" t="n">
        <f aca="false">SUMIFS('Expense Log'!$K$5:$K$604,'Expense Log'!$F$5:$F$604,"Uncategorized",'Expense Log'!$H$5:$H$604,T$4)</f>
        <v>0</v>
      </c>
      <c r="U35" s="114" t="n">
        <f aca="false">SUMIFS('Expense Log'!$K$5:$K$604,'Expense Log'!$F$5:$F$604,"Uncategorized",'Expense Log'!$H$5:$H$604,U$4)</f>
        <v>0</v>
      </c>
      <c r="V35" s="114" t="n">
        <f aca="false">SUMIFS('Expense Log'!$K$5:$K$604,'Expense Log'!$F$5:$F$604,"Uncategorized",'Expense Log'!$H$5:$H$604,V$4)</f>
        <v>0</v>
      </c>
      <c r="W35" s="114" t="n">
        <f aca="false">SUMIFS('Expense Log'!$K$5:$K$604,'Expense Log'!$F$5:$F$604,"Uncategorized",'Expense Log'!$H$5:$H$604,W$4)</f>
        <v>0</v>
      </c>
      <c r="X35" s="114" t="n">
        <f aca="false">SUMIFS('Expense Log'!$K$5:$K$604,'Expense Log'!$F$5:$F$604,"Uncategorized",'Expense Log'!$H$5:$H$604,X$4)</f>
        <v>0</v>
      </c>
      <c r="Y35" s="114" t="n">
        <f aca="false">SUMIFS('Expense Log'!$K$5:$K$604,'Expense Log'!$F$5:$F$604,"Uncategorized",'Expense Log'!$H$5:$H$604,Y$4)</f>
        <v>0</v>
      </c>
    </row>
    <row r="36" customFormat="false" ht="15" hidden="false" customHeight="false" outlineLevel="0" collapsed="false">
      <c r="A36" s="151" t="s">
        <v>723</v>
      </c>
      <c r="B36" s="152" t="n">
        <f aca="false">SUM(B5:B35)</f>
        <v>0</v>
      </c>
      <c r="C36" s="152" t="n">
        <f aca="false">SUM(C5:C35)</f>
        <v>86.42</v>
      </c>
      <c r="D36" s="152" t="n">
        <f aca="false">SUM(D5:D35)</f>
        <v>86.42</v>
      </c>
      <c r="F36" s="152" t="n">
        <f aca="false">SUM(F5:F35)</f>
        <v>86.42</v>
      </c>
      <c r="G36" s="152" t="n">
        <f aca="false">SUM(G5:G35)</f>
        <v>0</v>
      </c>
      <c r="H36" s="152" t="n">
        <f aca="false">SUM(H5:H35)</f>
        <v>0</v>
      </c>
      <c r="I36" s="152" t="n">
        <f aca="false">SUM(I5:I35)</f>
        <v>0</v>
      </c>
      <c r="J36" s="152" t="n">
        <f aca="false">SUM(J5:J35)</f>
        <v>0</v>
      </c>
      <c r="K36" s="152" t="n">
        <f aca="false">SUM(K5:K35)</f>
        <v>0</v>
      </c>
      <c r="L36" s="152" t="n">
        <f aca="false">SUM(L5:L35)</f>
        <v>0</v>
      </c>
      <c r="M36" s="152" t="n">
        <f aca="false">SUM(M5:M35)</f>
        <v>0</v>
      </c>
      <c r="N36" s="152" t="n">
        <f aca="false">SUM(N5:N35)</f>
        <v>0</v>
      </c>
      <c r="O36" s="152" t="n">
        <f aca="false">SUM(O5:O35)</f>
        <v>0</v>
      </c>
      <c r="P36" s="152" t="n">
        <f aca="false">SUM(P5:P35)</f>
        <v>0</v>
      </c>
      <c r="Q36" s="152" t="n">
        <f aca="false">SUM(Q5:Q35)</f>
        <v>0</v>
      </c>
      <c r="R36" s="152" t="n">
        <f aca="false">SUM(R5:R35)</f>
        <v>0</v>
      </c>
      <c r="S36" s="152" t="n">
        <f aca="false">SUM(S5:S35)</f>
        <v>0</v>
      </c>
      <c r="T36" s="152" t="n">
        <f aca="false">SUM(T5:T35)</f>
        <v>0</v>
      </c>
      <c r="U36" s="152" t="n">
        <f aca="false">SUM(U5:U35)</f>
        <v>0</v>
      </c>
      <c r="V36" s="152" t="n">
        <f aca="false">SUM(V5:V35)</f>
        <v>0</v>
      </c>
      <c r="W36" s="152" t="n">
        <f aca="false">SUM(W5:W35)</f>
        <v>0</v>
      </c>
      <c r="X36" s="152" t="n">
        <f aca="false">SUM(X5:X35)</f>
        <v>0</v>
      </c>
      <c r="Y36" s="152" t="n">
        <f aca="false">SUM(Y5:Y35)</f>
        <v>0</v>
      </c>
    </row>
  </sheetData>
  <sheetProtection sheet="true" scenarios="true" formatCells="false" formatColumns="false" formatRows="false" sort="false" autoFilter="false"/>
  <conditionalFormatting sqref="D5:D35">
    <cfRule type="cellIs" priority="2" operator="greaterThan" aboveAverage="0" equalAverage="0" bottom="0" percent="0" rank="0" text="" dxfId="29">
      <formula>0</formula>
    </cfRule>
  </conditionalFormatting>
  <conditionalFormatting sqref="A5:Y35">
    <cfRule type="expression" priority="3" aboveAverage="0" equalAverage="0" bottom="0" percent="0" rank="0" text="" dxfId="5">
      <formula>MOD(ROW(),2)=0</formula>
    </cfRule>
  </conditionalFormatting>
  <conditionalFormatting sqref="C5:C35">
    <cfRule type="dataBar" priority="4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{51F73169-2A7F-45B7-99E5-7C8A3EDD26CF}</x14:id>
        </ext>
      </extLst>
    </cfRule>
  </conditionalFormatting>
  <conditionalFormatting sqref="A5:D35">
    <cfRule type="expression" priority="5" aboveAverage="0" equalAverage="0" bottom="0" percent="0" rank="0" text="" dxfId="17">
      <formula>$D5&gt;0</formula>
    </cfRule>
  </conditionalFormatting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Monthly Actuals&amp;R&amp;8 Page &amp;P of &amp;N · printed &amp;D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F73169-2A7F-45B7-99E5-7C8A3EDD26CF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C5:C35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7" min="4" style="0" width="13"/>
    <col collapsed="false" customWidth="true" hidden="false" outlineLevel="0" max="9" min="8" style="0" width="14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2"/>
    <col collapsed="false" customWidth="true" hidden="false" outlineLevel="0" max="13" min="13" style="0" width="32"/>
    <col collapsed="false" customWidth="true" hidden="false" outlineLevel="0" max="15" min="14" style="0" width="12"/>
    <col collapsed="false" customWidth="true" hidden="false" outlineLevel="0" max="16" min="16" style="0" width="14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false" ht="24" hidden="false" customHeight="true" outlineLevel="0" collapsed="false">
      <c r="A2" s="98" t="s">
        <v>1108</v>
      </c>
      <c r="B2" s="139" t="s">
        <v>1109</v>
      </c>
      <c r="C2" s="139"/>
      <c r="D2" s="139" t="s">
        <v>1110</v>
      </c>
      <c r="E2" s="139"/>
      <c r="F2" s="139" t="s">
        <v>1111</v>
      </c>
      <c r="G2" s="139"/>
      <c r="H2" s="139" t="s">
        <v>1112</v>
      </c>
      <c r="I2" s="139"/>
    </row>
    <row r="3" customFormat="false" ht="24" hidden="false" customHeight="true" outlineLevel="0" collapsed="false">
      <c r="B3" s="187" t="str">
        <f aca="false">COUNTIF(K6:K16,"matches")&amp;" of "&amp;COUNTA(A6:A16)</f>
        <v>0 of 11</v>
      </c>
      <c r="C3" s="187"/>
      <c r="D3" s="182" t="n">
        <f aca="false">COUNTIF(K6:K16,"check")</f>
        <v>0</v>
      </c>
      <c r="E3" s="182"/>
      <c r="F3" s="182" t="n">
        <f aca="false">COUNTIF(K21:K40,"add it")</f>
        <v>0</v>
      </c>
      <c r="G3" s="182"/>
      <c r="H3" s="140" t="n">
        <f aca="false">N15</f>
        <v>0</v>
      </c>
      <c r="I3" s="140"/>
    </row>
    <row r="4" customFormat="false" ht="18.75" hidden="false" customHeight="true" outlineLevel="0" collapsed="false">
      <c r="A4" s="56" t="s">
        <v>1113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19.5" hidden="false" customHeight="true" outlineLevel="0" collapsed="false">
      <c r="A5" s="107" t="s">
        <v>1114</v>
      </c>
      <c r="B5" s="107" t="s">
        <v>1115</v>
      </c>
      <c r="C5" s="107" t="s">
        <v>1116</v>
      </c>
      <c r="D5" s="107" t="s">
        <v>1117</v>
      </c>
      <c r="E5" s="107" t="s">
        <v>1118</v>
      </c>
      <c r="F5" s="107" t="s">
        <v>1119</v>
      </c>
      <c r="G5" s="107" t="s">
        <v>1120</v>
      </c>
      <c r="H5" s="107" t="s">
        <v>1121</v>
      </c>
      <c r="I5" s="107" t="s">
        <v>1122</v>
      </c>
      <c r="J5" s="107" t="s">
        <v>1123</v>
      </c>
      <c r="K5" s="107" t="s">
        <v>1124</v>
      </c>
    </row>
    <row r="6" customFormat="false" ht="15" hidden="false" customHeight="false" outlineLevel="0" collapsed="false">
      <c r="A6" s="154" t="str">
        <f aca="false">IF(Accounts!A5="","",Accounts!A5)</f>
        <v>Main checking</v>
      </c>
      <c r="B6" s="166"/>
      <c r="C6" s="142"/>
      <c r="D6" s="114" t="str">
        <f aca="false">IF(OR(A6="",B6=""),"",SUMIFS('Expense Log'!$K$5:$K$604,'Expense Log'!$G$5:$G$604,A6,'Expense Log'!$A$5:$A$604,"&gt;"&amp;B6,'Expense Log'!$L$5:$L$604,"&lt;&gt;Income",'Expense Log'!$L$5:$L$604,"&lt;&gt;Transfer"))</f>
        <v/>
      </c>
      <c r="E6" s="114" t="str">
        <f aca="false">IF(OR(A6="",B6=""),"",SUMIFS('Expense Log'!$K$5:$K$604,'Expense Log'!$G$5:$G$604,A6,'Expense Log'!$A$5:$A$604,"&gt;"&amp;B6,'Expense Log'!$L$5:$L$604,"Income"))</f>
        <v/>
      </c>
      <c r="F6" s="114" t="str">
        <f aca="false">IF(OR(A6="",B6=""),"",SUMIFS('Expense Log'!$K$5:$K$604,'Expense Log'!$M$5:$M$604,A6,'Expense Log'!$A$5:$A$604,"&gt;"&amp;B6,'Expense Log'!$L$5:$L$604,"Transfer"))</f>
        <v/>
      </c>
      <c r="G6" s="114" t="str">
        <f aca="false">IF(OR(A6="",B6=""),"",SUMIFS('Expense Log'!$K$5:$K$604,'Expense Log'!$G$5:$G$604,A6,'Expense Log'!$A$5:$A$604,"&gt;"&amp;B6,'Expense Log'!$L$5:$L$604,"Transfer"))</f>
        <v/>
      </c>
      <c r="H6" s="165" t="str">
        <f aca="false">IF(OR(A6="",B6=""),"",N(C6)-D6+E6+F6-G6)</f>
        <v/>
      </c>
      <c r="I6" s="159" t="n">
        <f aca="false">IF(A6="","",Accounts!F5)</f>
        <v>0</v>
      </c>
      <c r="J6" s="188" t="str">
        <f aca="false">IF(OR(A6="",B6=""),"",I6-H6)</f>
        <v/>
      </c>
      <c r="K6" s="156" t="str">
        <f aca="false">IF(OR(A6="",B6=""),"",IF(ABS(J6)&lt;1,"matches","check"))</f>
        <v/>
      </c>
    </row>
    <row r="7" customFormat="false" ht="15" hidden="false" customHeight="false" outlineLevel="0" collapsed="false">
      <c r="A7" s="154" t="str">
        <f aca="false">IF(Accounts!A6="","",Accounts!A6)</f>
        <v>Savings</v>
      </c>
      <c r="B7" s="166"/>
      <c r="C7" s="142"/>
      <c r="D7" s="114" t="str">
        <f aca="false">IF(OR(A7="",B7=""),"",SUMIFS('Expense Log'!$K$5:$K$604,'Expense Log'!$G$5:$G$604,A7,'Expense Log'!$A$5:$A$604,"&gt;"&amp;B7,'Expense Log'!$L$5:$L$604,"&lt;&gt;Income",'Expense Log'!$L$5:$L$604,"&lt;&gt;Transfer"))</f>
        <v/>
      </c>
      <c r="E7" s="114" t="str">
        <f aca="false">IF(OR(A7="",B7=""),"",SUMIFS('Expense Log'!$K$5:$K$604,'Expense Log'!$G$5:$G$604,A7,'Expense Log'!$A$5:$A$604,"&gt;"&amp;B7,'Expense Log'!$L$5:$L$604,"Income"))</f>
        <v/>
      </c>
      <c r="F7" s="114" t="str">
        <f aca="false">IF(OR(A7="",B7=""),"",SUMIFS('Expense Log'!$K$5:$K$604,'Expense Log'!$M$5:$M$604,A7,'Expense Log'!$A$5:$A$604,"&gt;"&amp;B7,'Expense Log'!$L$5:$L$604,"Transfer"))</f>
        <v/>
      </c>
      <c r="G7" s="114" t="str">
        <f aca="false">IF(OR(A7="",B7=""),"",SUMIFS('Expense Log'!$K$5:$K$604,'Expense Log'!$G$5:$G$604,A7,'Expense Log'!$A$5:$A$604,"&gt;"&amp;B7,'Expense Log'!$L$5:$L$604,"Transfer"))</f>
        <v/>
      </c>
      <c r="H7" s="165" t="str">
        <f aca="false">IF(OR(A7="",B7=""),"",N(C7)-D7+E7+F7-G7)</f>
        <v/>
      </c>
      <c r="I7" s="159" t="n">
        <f aca="false">IF(A7="","",Accounts!F6)</f>
        <v>0</v>
      </c>
      <c r="J7" s="188" t="str">
        <f aca="false">IF(OR(A7="",B7=""),"",I7-H7)</f>
        <v/>
      </c>
      <c r="K7" s="156" t="str">
        <f aca="false">IF(OR(A7="",B7=""),"",IF(ABS(J7)&lt;1,"matches","check"))</f>
        <v/>
      </c>
    </row>
    <row r="8" customFormat="false" ht="15" hidden="false" customHeight="false" outlineLevel="0" collapsed="false">
      <c r="A8" s="154" t="str">
        <f aca="false">IF(Accounts!A7="","",Accounts!A7)</f>
        <v>Partner checking</v>
      </c>
      <c r="B8" s="166"/>
      <c r="C8" s="142"/>
      <c r="D8" s="114" t="str">
        <f aca="false">IF(OR(A8="",B8=""),"",SUMIFS('Expense Log'!$K$5:$K$604,'Expense Log'!$G$5:$G$604,A8,'Expense Log'!$A$5:$A$604,"&gt;"&amp;B8,'Expense Log'!$L$5:$L$604,"&lt;&gt;Income",'Expense Log'!$L$5:$L$604,"&lt;&gt;Transfer"))</f>
        <v/>
      </c>
      <c r="E8" s="114" t="str">
        <f aca="false">IF(OR(A8="",B8=""),"",SUMIFS('Expense Log'!$K$5:$K$604,'Expense Log'!$G$5:$G$604,A8,'Expense Log'!$A$5:$A$604,"&gt;"&amp;B8,'Expense Log'!$L$5:$L$604,"Income"))</f>
        <v/>
      </c>
      <c r="F8" s="114" t="str">
        <f aca="false">IF(OR(A8="",B8=""),"",SUMIFS('Expense Log'!$K$5:$K$604,'Expense Log'!$M$5:$M$604,A8,'Expense Log'!$A$5:$A$604,"&gt;"&amp;B8,'Expense Log'!$L$5:$L$604,"Transfer"))</f>
        <v/>
      </c>
      <c r="G8" s="114" t="str">
        <f aca="false">IF(OR(A8="",B8=""),"",SUMIFS('Expense Log'!$K$5:$K$604,'Expense Log'!$G$5:$G$604,A8,'Expense Log'!$A$5:$A$604,"&gt;"&amp;B8,'Expense Log'!$L$5:$L$604,"Transfer"))</f>
        <v/>
      </c>
      <c r="H8" s="165" t="str">
        <f aca="false">IF(OR(A8="",B8=""),"",N(C8)-D8+E8+F8-G8)</f>
        <v/>
      </c>
      <c r="I8" s="159" t="n">
        <f aca="false">IF(A8="","",Accounts!F7)</f>
        <v>0</v>
      </c>
      <c r="J8" s="188" t="str">
        <f aca="false">IF(OR(A8="",B8=""),"",I8-H8)</f>
        <v/>
      </c>
      <c r="K8" s="156" t="str">
        <f aca="false">IF(OR(A8="",B8=""),"",IF(ABS(J8)&lt;1,"matches","check"))</f>
        <v/>
      </c>
    </row>
    <row r="9" customFormat="false" ht="15" hidden="false" customHeight="false" outlineLevel="0" collapsed="false">
      <c r="A9" s="154" t="str">
        <f aca="false">IF(Accounts!A8="","",Accounts!A8)</f>
        <v>Partner savings</v>
      </c>
      <c r="B9" s="166"/>
      <c r="C9" s="142"/>
      <c r="D9" s="114" t="str">
        <f aca="false">IF(OR(A9="",B9=""),"",SUMIFS('Expense Log'!$K$5:$K$604,'Expense Log'!$G$5:$G$604,A9,'Expense Log'!$A$5:$A$604,"&gt;"&amp;B9,'Expense Log'!$L$5:$L$604,"&lt;&gt;Income",'Expense Log'!$L$5:$L$604,"&lt;&gt;Transfer"))</f>
        <v/>
      </c>
      <c r="E9" s="114" t="str">
        <f aca="false">IF(OR(A9="",B9=""),"",SUMIFS('Expense Log'!$K$5:$K$604,'Expense Log'!$G$5:$G$604,A9,'Expense Log'!$A$5:$A$604,"&gt;"&amp;B9,'Expense Log'!$L$5:$L$604,"Income"))</f>
        <v/>
      </c>
      <c r="F9" s="114" t="str">
        <f aca="false">IF(OR(A9="",B9=""),"",SUMIFS('Expense Log'!$K$5:$K$604,'Expense Log'!$M$5:$M$604,A9,'Expense Log'!$A$5:$A$604,"&gt;"&amp;B9,'Expense Log'!$L$5:$L$604,"Transfer"))</f>
        <v/>
      </c>
      <c r="G9" s="114" t="str">
        <f aca="false">IF(OR(A9="",B9=""),"",SUMIFS('Expense Log'!$K$5:$K$604,'Expense Log'!$G$5:$G$604,A9,'Expense Log'!$A$5:$A$604,"&gt;"&amp;B9,'Expense Log'!$L$5:$L$604,"Transfer"))</f>
        <v/>
      </c>
      <c r="H9" s="165" t="str">
        <f aca="false">IF(OR(A9="",B9=""),"",N(C9)-D9+E9+F9-G9)</f>
        <v/>
      </c>
      <c r="I9" s="159" t="n">
        <f aca="false">IF(A9="","",Accounts!F8)</f>
        <v>0</v>
      </c>
      <c r="J9" s="188" t="str">
        <f aca="false">IF(OR(A9="",B9=""),"",I9-H9)</f>
        <v/>
      </c>
      <c r="K9" s="156" t="str">
        <f aca="false">IF(OR(A9="",B9=""),"",IF(ABS(J9)&lt;1,"matches","check"))</f>
        <v/>
      </c>
    </row>
    <row r="10" customFormat="false" ht="15" hidden="false" customHeight="false" outlineLevel="0" collapsed="false">
      <c r="A10" s="154" t="str">
        <f aca="false">IF(Accounts!A9="","",Accounts!A9)</f>
        <v>Joint checking</v>
      </c>
      <c r="B10" s="166"/>
      <c r="C10" s="142"/>
      <c r="D10" s="114" t="str">
        <f aca="false">IF(OR(A10="",B10=""),"",SUMIFS('Expense Log'!$K$5:$K$604,'Expense Log'!$G$5:$G$604,A10,'Expense Log'!$A$5:$A$604,"&gt;"&amp;B10,'Expense Log'!$L$5:$L$604,"&lt;&gt;Income",'Expense Log'!$L$5:$L$604,"&lt;&gt;Transfer"))</f>
        <v/>
      </c>
      <c r="E10" s="114" t="str">
        <f aca="false">IF(OR(A10="",B10=""),"",SUMIFS('Expense Log'!$K$5:$K$604,'Expense Log'!$G$5:$G$604,A10,'Expense Log'!$A$5:$A$604,"&gt;"&amp;B10,'Expense Log'!$L$5:$L$604,"Income"))</f>
        <v/>
      </c>
      <c r="F10" s="114" t="str">
        <f aca="false">IF(OR(A10="",B10=""),"",SUMIFS('Expense Log'!$K$5:$K$604,'Expense Log'!$M$5:$M$604,A10,'Expense Log'!$A$5:$A$604,"&gt;"&amp;B10,'Expense Log'!$L$5:$L$604,"Transfer"))</f>
        <v/>
      </c>
      <c r="G10" s="114" t="str">
        <f aca="false">IF(OR(A10="",B10=""),"",SUMIFS('Expense Log'!$K$5:$K$604,'Expense Log'!$G$5:$G$604,A10,'Expense Log'!$A$5:$A$604,"&gt;"&amp;B10,'Expense Log'!$L$5:$L$604,"Transfer"))</f>
        <v/>
      </c>
      <c r="H10" s="165" t="str">
        <f aca="false">IF(OR(A10="",B10=""),"",N(C10)-D10+E10+F10-G10)</f>
        <v/>
      </c>
      <c r="I10" s="159" t="n">
        <f aca="false">IF(A10="","",Accounts!F9)</f>
        <v>0</v>
      </c>
      <c r="J10" s="188" t="str">
        <f aca="false">IF(OR(A10="",B10=""),"",I10-H10)</f>
        <v/>
      </c>
      <c r="K10" s="156" t="str">
        <f aca="false">IF(OR(A10="",B10=""),"",IF(ABS(J10)&lt;1,"matches","check"))</f>
        <v/>
      </c>
    </row>
    <row r="11" customFormat="false" ht="15" hidden="false" customHeight="false" outlineLevel="0" collapsed="false">
      <c r="A11" s="154" t="str">
        <f aca="false">IF(Accounts!A10="","",Accounts!A10)</f>
        <v>High-yield savings / money market</v>
      </c>
      <c r="B11" s="166"/>
      <c r="C11" s="142"/>
      <c r="D11" s="114" t="str">
        <f aca="false">IF(OR(A11="",B11=""),"",SUMIFS('Expense Log'!$K$5:$K$604,'Expense Log'!$G$5:$G$604,A11,'Expense Log'!$A$5:$A$604,"&gt;"&amp;B11,'Expense Log'!$L$5:$L$604,"&lt;&gt;Income",'Expense Log'!$L$5:$L$604,"&lt;&gt;Transfer"))</f>
        <v/>
      </c>
      <c r="E11" s="114" t="str">
        <f aca="false">IF(OR(A11="",B11=""),"",SUMIFS('Expense Log'!$K$5:$K$604,'Expense Log'!$G$5:$G$604,A11,'Expense Log'!$A$5:$A$604,"&gt;"&amp;B11,'Expense Log'!$L$5:$L$604,"Income"))</f>
        <v/>
      </c>
      <c r="F11" s="114" t="str">
        <f aca="false">IF(OR(A11="",B11=""),"",SUMIFS('Expense Log'!$K$5:$K$604,'Expense Log'!$M$5:$M$604,A11,'Expense Log'!$A$5:$A$604,"&gt;"&amp;B11,'Expense Log'!$L$5:$L$604,"Transfer"))</f>
        <v/>
      </c>
      <c r="G11" s="114" t="str">
        <f aca="false">IF(OR(A11="",B11=""),"",SUMIFS('Expense Log'!$K$5:$K$604,'Expense Log'!$G$5:$G$604,A11,'Expense Log'!$A$5:$A$604,"&gt;"&amp;B11,'Expense Log'!$L$5:$L$604,"Transfer"))</f>
        <v/>
      </c>
      <c r="H11" s="165" t="str">
        <f aca="false">IF(OR(A11="",B11=""),"",N(C11)-D11+E11+F11-G11)</f>
        <v/>
      </c>
      <c r="I11" s="159" t="n">
        <f aca="false">IF(A11="","",Accounts!F10)</f>
        <v>0</v>
      </c>
      <c r="J11" s="188" t="str">
        <f aca="false">IF(OR(A11="",B11=""),"",I11-H11)</f>
        <v/>
      </c>
      <c r="K11" s="156" t="str">
        <f aca="false">IF(OR(A11="",B11=""),"",IF(ABS(J11)&lt;1,"matches","check"))</f>
        <v/>
      </c>
    </row>
    <row r="12" customFormat="false" ht="15" hidden="false" customHeight="false" outlineLevel="0" collapsed="false">
      <c r="A12" s="154" t="str">
        <f aca="false">IF(Accounts!A11="","",Accounts!A11)</f>
        <v>Cash / wallet</v>
      </c>
      <c r="B12" s="166"/>
      <c r="C12" s="142"/>
      <c r="D12" s="114" t="str">
        <f aca="false">IF(OR(A12="",B12=""),"",SUMIFS('Expense Log'!$K$5:$K$604,'Expense Log'!$G$5:$G$604,A12,'Expense Log'!$A$5:$A$604,"&gt;"&amp;B12,'Expense Log'!$L$5:$L$604,"&lt;&gt;Income",'Expense Log'!$L$5:$L$604,"&lt;&gt;Transfer"))</f>
        <v/>
      </c>
      <c r="E12" s="114" t="str">
        <f aca="false">IF(OR(A12="",B12=""),"",SUMIFS('Expense Log'!$K$5:$K$604,'Expense Log'!$G$5:$G$604,A12,'Expense Log'!$A$5:$A$604,"&gt;"&amp;B12,'Expense Log'!$L$5:$L$604,"Income"))</f>
        <v/>
      </c>
      <c r="F12" s="114" t="str">
        <f aca="false">IF(OR(A12="",B12=""),"",SUMIFS('Expense Log'!$K$5:$K$604,'Expense Log'!$M$5:$M$604,A12,'Expense Log'!$A$5:$A$604,"&gt;"&amp;B12,'Expense Log'!$L$5:$L$604,"Transfer"))</f>
        <v/>
      </c>
      <c r="G12" s="114" t="str">
        <f aca="false">IF(OR(A12="",B12=""),"",SUMIFS('Expense Log'!$K$5:$K$604,'Expense Log'!$G$5:$G$604,A12,'Expense Log'!$A$5:$A$604,"&gt;"&amp;B12,'Expense Log'!$L$5:$L$604,"Transfer"))</f>
        <v/>
      </c>
      <c r="H12" s="165" t="str">
        <f aca="false">IF(OR(A12="",B12=""),"",N(C12)-D12+E12+F12-G12)</f>
        <v/>
      </c>
      <c r="I12" s="159" t="n">
        <f aca="false">IF(A12="","",Accounts!F11)</f>
        <v>0</v>
      </c>
      <c r="J12" s="188" t="str">
        <f aca="false">IF(OR(A12="",B12=""),"",I12-H12)</f>
        <v/>
      </c>
      <c r="K12" s="156" t="str">
        <f aca="false">IF(OR(A12="",B12=""),"",IF(ABS(J12)&lt;1,"matches","check"))</f>
        <v/>
      </c>
    </row>
    <row r="13" customFormat="false" ht="18.75" hidden="false" customHeight="true" outlineLevel="0" collapsed="false">
      <c r="A13" s="154" t="str">
        <f aca="false">IF(Accounts!A12="","",Accounts!A12)</f>
        <v>HSA / FSA</v>
      </c>
      <c r="B13" s="166"/>
      <c r="C13" s="142"/>
      <c r="D13" s="114" t="str">
        <f aca="false">IF(OR(A13="",B13=""),"",SUMIFS('Expense Log'!$K$5:$K$604,'Expense Log'!$G$5:$G$604,A13,'Expense Log'!$A$5:$A$604,"&gt;"&amp;B13,'Expense Log'!$L$5:$L$604,"&lt;&gt;Income",'Expense Log'!$L$5:$L$604,"&lt;&gt;Transfer"))</f>
        <v/>
      </c>
      <c r="E13" s="114" t="str">
        <f aca="false">IF(OR(A13="",B13=""),"",SUMIFS('Expense Log'!$K$5:$K$604,'Expense Log'!$G$5:$G$604,A13,'Expense Log'!$A$5:$A$604,"&gt;"&amp;B13,'Expense Log'!$L$5:$L$604,"Income"))</f>
        <v/>
      </c>
      <c r="F13" s="114" t="str">
        <f aca="false">IF(OR(A13="",B13=""),"",SUMIFS('Expense Log'!$K$5:$K$604,'Expense Log'!$M$5:$M$604,A13,'Expense Log'!$A$5:$A$604,"&gt;"&amp;B13,'Expense Log'!$L$5:$L$604,"Transfer"))</f>
        <v/>
      </c>
      <c r="G13" s="114" t="str">
        <f aca="false">IF(OR(A13="",B13=""),"",SUMIFS('Expense Log'!$K$5:$K$604,'Expense Log'!$G$5:$G$604,A13,'Expense Log'!$A$5:$A$604,"&gt;"&amp;B13,'Expense Log'!$L$5:$L$604,"Transfer"))</f>
        <v/>
      </c>
      <c r="H13" s="165" t="str">
        <f aca="false">IF(OR(A13="",B13=""),"",N(C13)-D13+E13+F13-G13)</f>
        <v/>
      </c>
      <c r="I13" s="159" t="n">
        <f aca="false">IF(A13="","",Accounts!F12)</f>
        <v>0</v>
      </c>
      <c r="J13" s="188" t="str">
        <f aca="false">IF(OR(A13="",B13=""),"",I13-H13)</f>
        <v/>
      </c>
      <c r="K13" s="156" t="str">
        <f aca="false">IF(OR(A13="",B13=""),"",IF(ABS(J13)&lt;1,"matches","check"))</f>
        <v/>
      </c>
      <c r="M13" s="56" t="s">
        <v>1125</v>
      </c>
      <c r="N13" s="3"/>
      <c r="O13" s="3"/>
      <c r="P13" s="3"/>
    </row>
    <row r="14" customFormat="false" ht="19.5" hidden="false" customHeight="true" outlineLevel="0" collapsed="false">
      <c r="A14" s="154" t="str">
        <f aca="false">IF(Accounts!A13="","",Accounts!A13)</f>
        <v>Brokerage — cash portion</v>
      </c>
      <c r="B14" s="166"/>
      <c r="C14" s="142"/>
      <c r="D14" s="114" t="str">
        <f aca="false">IF(OR(A14="",B14=""),"",SUMIFS('Expense Log'!$K$5:$K$604,'Expense Log'!$G$5:$G$604,A14,'Expense Log'!$A$5:$A$604,"&gt;"&amp;B14,'Expense Log'!$L$5:$L$604,"&lt;&gt;Income",'Expense Log'!$L$5:$L$604,"&lt;&gt;Transfer"))</f>
        <v/>
      </c>
      <c r="E14" s="114" t="str">
        <f aca="false">IF(OR(A14="",B14=""),"",SUMIFS('Expense Log'!$K$5:$K$604,'Expense Log'!$G$5:$G$604,A14,'Expense Log'!$A$5:$A$604,"&gt;"&amp;B14,'Expense Log'!$L$5:$L$604,"Income"))</f>
        <v/>
      </c>
      <c r="F14" s="114" t="str">
        <f aca="false">IF(OR(A14="",B14=""),"",SUMIFS('Expense Log'!$K$5:$K$604,'Expense Log'!$M$5:$M$604,A14,'Expense Log'!$A$5:$A$604,"&gt;"&amp;B14,'Expense Log'!$L$5:$L$604,"Transfer"))</f>
        <v/>
      </c>
      <c r="G14" s="114" t="str">
        <f aca="false">IF(OR(A14="",B14=""),"",SUMIFS('Expense Log'!$K$5:$K$604,'Expense Log'!$G$5:$G$604,A14,'Expense Log'!$A$5:$A$604,"&gt;"&amp;B14,'Expense Log'!$L$5:$L$604,"Transfer"))</f>
        <v/>
      </c>
      <c r="H14" s="165" t="str">
        <f aca="false">IF(OR(A14="",B14=""),"",N(C14)-D14+E14+F14-G14)</f>
        <v/>
      </c>
      <c r="I14" s="159" t="n">
        <f aca="false">IF(A14="","",Accounts!F13)</f>
        <v>0</v>
      </c>
      <c r="J14" s="188" t="str">
        <f aca="false">IF(OR(A14="",B14=""),"",I14-H14)</f>
        <v/>
      </c>
      <c r="K14" s="156" t="str">
        <f aca="false">IF(OR(A14="",B14=""),"",IF(ABS(J14)&lt;1,"matches","check"))</f>
        <v/>
      </c>
      <c r="M14" s="107"/>
      <c r="N14" s="107" t="s">
        <v>695</v>
      </c>
      <c r="O14" s="107" t="s">
        <v>1126</v>
      </c>
      <c r="P14" s="107" t="s">
        <v>1127</v>
      </c>
    </row>
    <row r="15" customFormat="false" ht="15" hidden="false" customHeight="false" outlineLevel="0" collapsed="false">
      <c r="A15" s="154" t="str">
        <f aca="false">IF(Accounts!A14="","",Accounts!A14)</f>
        <v>Other account</v>
      </c>
      <c r="B15" s="166"/>
      <c r="C15" s="142"/>
      <c r="D15" s="114" t="str">
        <f aca="false">IF(OR(A15="",B15=""),"",SUMIFS('Expense Log'!$K$5:$K$604,'Expense Log'!$G$5:$G$604,A15,'Expense Log'!$A$5:$A$604,"&gt;"&amp;B15,'Expense Log'!$L$5:$L$604,"&lt;&gt;Income",'Expense Log'!$L$5:$L$604,"&lt;&gt;Transfer"))</f>
        <v/>
      </c>
      <c r="E15" s="114" t="str">
        <f aca="false">IF(OR(A15="",B15=""),"",SUMIFS('Expense Log'!$K$5:$K$604,'Expense Log'!$G$5:$G$604,A15,'Expense Log'!$A$5:$A$604,"&gt;"&amp;B15,'Expense Log'!$L$5:$L$604,"Income"))</f>
        <v/>
      </c>
      <c r="F15" s="114" t="str">
        <f aca="false">IF(OR(A15="",B15=""),"",SUMIFS('Expense Log'!$K$5:$K$604,'Expense Log'!$M$5:$M$604,A15,'Expense Log'!$A$5:$A$604,"&gt;"&amp;B15,'Expense Log'!$L$5:$L$604,"Transfer"))</f>
        <v/>
      </c>
      <c r="G15" s="114" t="str">
        <f aca="false">IF(OR(A15="",B15=""),"",SUMIFS('Expense Log'!$K$5:$K$604,'Expense Log'!$G$5:$G$604,A15,'Expense Log'!$A$5:$A$604,"&gt;"&amp;B15,'Expense Log'!$L$5:$L$604,"Transfer"))</f>
        <v/>
      </c>
      <c r="H15" s="165" t="str">
        <f aca="false">IF(OR(A15="",B15=""),"",N(C15)-D15+E15+F15-G15)</f>
        <v/>
      </c>
      <c r="I15" s="159" t="n">
        <f aca="false">IF(A15="","",Accounts!F14)</f>
        <v>0</v>
      </c>
      <c r="J15" s="188" t="str">
        <f aca="false">IF(OR(A15="",B15=""),"",I15-H15)</f>
        <v/>
      </c>
      <c r="K15" s="156" t="str">
        <f aca="false">IF(OR(A15="",B15=""),"",IF(ABS(J15)&lt;1,"matches","check"))</f>
        <v/>
      </c>
      <c r="M15" s="150" t="s">
        <v>1128</v>
      </c>
      <c r="N15" s="114" t="n">
        <f aca="true">SUMIFS('Expense Log'!$K$5:$K$604,'Expense Log'!$L$5:$L$604,"Income",'Expense Log'!$H$5:$H$604,DATE(YEAR(TODAY()),MONTH(TODAY()),1))</f>
        <v>0</v>
      </c>
      <c r="O15" s="114" t="n">
        <f aca="true">SUMIFS('Expense Log'!$K$5:$K$604,'Expense Log'!$L$5:$L$604,"Income",'Expense Log'!$H$5:$H$604,EDATE(DATE(YEAR(TODAY()),MONTH(TODAY()),1),-1))</f>
        <v>0</v>
      </c>
      <c r="P15" s="114" t="n">
        <f aca="false">Inputs!$B$16+Forecast!$C$41</f>
        <v>0</v>
      </c>
    </row>
    <row r="16" customFormat="false" ht="15" hidden="false" customHeight="false" outlineLevel="0" collapsed="false">
      <c r="A16" s="154" t="str">
        <f aca="false">IF(Accounts!A15="","",Accounts!A15)</f>
        <v>Safety-net savings (cushion)</v>
      </c>
      <c r="B16" s="166"/>
      <c r="C16" s="142"/>
      <c r="D16" s="114" t="str">
        <f aca="false">IF(OR(A16="",B16=""),"",SUMIFS('Expense Log'!$K$5:$K$604,'Expense Log'!$G$5:$G$604,A16,'Expense Log'!$A$5:$A$604,"&gt;"&amp;B16,'Expense Log'!$L$5:$L$604,"&lt;&gt;Income",'Expense Log'!$L$5:$L$604,"&lt;&gt;Transfer"))</f>
        <v/>
      </c>
      <c r="E16" s="114" t="str">
        <f aca="false">IF(OR(A16="",B16=""),"",SUMIFS('Expense Log'!$K$5:$K$604,'Expense Log'!$G$5:$G$604,A16,'Expense Log'!$A$5:$A$604,"&gt;"&amp;B16,'Expense Log'!$L$5:$L$604,"Income"))</f>
        <v/>
      </c>
      <c r="F16" s="114" t="str">
        <f aca="false">IF(OR(A16="",B16=""),"",SUMIFS('Expense Log'!$K$5:$K$604,'Expense Log'!$M$5:$M$604,A16,'Expense Log'!$A$5:$A$604,"&gt;"&amp;B16,'Expense Log'!$L$5:$L$604,"Transfer"))</f>
        <v/>
      </c>
      <c r="G16" s="114" t="str">
        <f aca="false">IF(OR(A16="",B16=""),"",SUMIFS('Expense Log'!$K$5:$K$604,'Expense Log'!$G$5:$G$604,A16,'Expense Log'!$A$5:$A$604,"&gt;"&amp;B16,'Expense Log'!$L$5:$L$604,"Transfer"))</f>
        <v/>
      </c>
      <c r="H16" s="165" t="str">
        <f aca="false">IF(OR(A16="",B16=""),"",N(C16)-D16+E16+F16-G16)</f>
        <v/>
      </c>
      <c r="I16" s="159" t="n">
        <f aca="false">IF(A16="","",Accounts!F15)</f>
        <v>0</v>
      </c>
      <c r="J16" s="188" t="str">
        <f aca="false">IF(OR(A16="",B16=""),"",I16-H16)</f>
        <v/>
      </c>
      <c r="K16" s="156" t="str">
        <f aca="false">IF(OR(A16="",B16=""),"",IF(ABS(J16)&lt;1,"matches","check"))</f>
        <v/>
      </c>
      <c r="M16" s="150" t="s">
        <v>1129</v>
      </c>
      <c r="N16" s="114" t="n">
        <f aca="true">SUMIFS('Expense Log'!$K$5:$K$604,'Expense Log'!$H$5:$H$604,DATE(YEAR(TODAY()),MONTH(TODAY()),1),'Expense Log'!$L$5:$L$604,"&lt;&gt;Income",'Expense Log'!$L$5:$L$604,"&lt;&gt;Transfer")</f>
        <v>86.42</v>
      </c>
      <c r="O16" s="114" t="n">
        <f aca="true">SUMIFS('Expense Log'!$K$5:$K$604,'Expense Log'!$H$5:$H$604,EDATE(DATE(YEAR(TODAY()),MONTH(TODAY()),1),-1),'Expense Log'!$L$5:$L$604,"&lt;&gt;Income",'Expense Log'!$L$5:$L$604,"&lt;&gt;Transfer")</f>
        <v>0</v>
      </c>
      <c r="P16" s="114" t="n">
        <f aca="false">Budget!$C$38</f>
        <v>0</v>
      </c>
    </row>
    <row r="17" customFormat="false" ht="15" hidden="false" customHeight="false" outlineLevel="0" collapsed="false">
      <c r="A17" s="21" t="s">
        <v>1130</v>
      </c>
      <c r="M17" s="189" t="s">
        <v>1131</v>
      </c>
      <c r="N17" s="147" t="n">
        <f aca="false">N15-N16</f>
        <v>-86.42</v>
      </c>
      <c r="O17" s="147" t="n">
        <f aca="false">O15-O16</f>
        <v>0</v>
      </c>
      <c r="P17" s="147" t="n">
        <f aca="false">P15-P16</f>
        <v>0</v>
      </c>
    </row>
    <row r="18" customFormat="false" ht="15" hidden="false" customHeight="false" outlineLevel="0" collapsed="false">
      <c r="M18" s="150" t="s">
        <v>1132</v>
      </c>
      <c r="N18" s="114" t="n">
        <f aca="true">SUMIFS('Expense Log'!$K$5:$K$604,'Expense Log'!$L$5:$L$604,"Transfer",'Expense Log'!$H$5:$H$604,DATE(YEAR(TODAY()),MONTH(TODAY()),1))</f>
        <v>0</v>
      </c>
      <c r="O18" s="114" t="n">
        <f aca="true">SUMIFS('Expense Log'!$K$5:$K$604,'Expense Log'!$L$5:$L$604,"Transfer",'Expense Log'!$H$5:$H$604,EDATE(DATE(YEAR(TODAY()),MONTH(TODAY()),1),-1))</f>
        <v>0</v>
      </c>
      <c r="P18" s="147"/>
    </row>
    <row r="19" customFormat="false" ht="18.75" hidden="false" customHeight="true" outlineLevel="0" collapsed="false">
      <c r="A19" s="56" t="s">
        <v>1133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19.5" hidden="false" customHeight="true" outlineLevel="0" collapsed="false">
      <c r="A20" s="107" t="s">
        <v>1134</v>
      </c>
      <c r="B20" s="107" t="s">
        <v>1135</v>
      </c>
      <c r="C20" s="107" t="s">
        <v>1093</v>
      </c>
      <c r="D20" s="107" t="s">
        <v>1136</v>
      </c>
      <c r="E20" s="107"/>
      <c r="F20" s="107"/>
      <c r="G20" s="107"/>
      <c r="H20" s="107"/>
      <c r="I20" s="107"/>
      <c r="J20" s="107"/>
      <c r="K20" s="107" t="s">
        <v>1137</v>
      </c>
    </row>
    <row r="21" customFormat="false" ht="15" hidden="false" customHeight="false" outlineLevel="0" collapsed="false">
      <c r="A21" s="154" t="str">
        <f aca="false">IFERROR(INDEX('Expense Log'!$B$5:$B$604,MATCH(1,'Expense Log'!$Q$5:$Q$604,0)),"")</f>
        <v/>
      </c>
      <c r="B21" s="159" t="str">
        <f aca="false">IF(A21="","",IFERROR(INDEX('Expense Log'!$K$5:$K$604,MATCH(1,'Expense Log'!$Q$5:$Q$604,0)),""))</f>
        <v/>
      </c>
      <c r="C21" s="154" t="str">
        <f aca="false">IF(A21="","",IFERROR(INDEX('Expense Log'!$F$5:$F$604,MATCH(1,'Expense Log'!$Q$5:$Q$604,0)),""))</f>
        <v/>
      </c>
      <c r="D21" s="190" t="str">
        <f aca="false">IF(A21="","",COUNTIF('Expense Log'!$B$5:$B$604,A21))</f>
        <v/>
      </c>
      <c r="K21" s="191" t="str">
        <f aca="false">IF(A21="","",IF(COUNTIF(Budget!$A$5:$A$34,C21)&gt;0,"yes","add it"))</f>
        <v/>
      </c>
    </row>
    <row r="22" customFormat="false" ht="15" hidden="false" customHeight="false" outlineLevel="0" collapsed="false">
      <c r="A22" s="154" t="str">
        <f aca="false">IFERROR(INDEX('Expense Log'!$B$5:$B$604,MATCH(2,'Expense Log'!$Q$5:$Q$604,0)),"")</f>
        <v/>
      </c>
      <c r="B22" s="159" t="str">
        <f aca="false">IF(A22="","",IFERROR(INDEX('Expense Log'!$K$5:$K$604,MATCH(2,'Expense Log'!$Q$5:$Q$604,0)),""))</f>
        <v/>
      </c>
      <c r="C22" s="154" t="str">
        <f aca="false">IF(A22="","",IFERROR(INDEX('Expense Log'!$F$5:$F$604,MATCH(2,'Expense Log'!$Q$5:$Q$604,0)),""))</f>
        <v/>
      </c>
      <c r="D22" s="190" t="str">
        <f aca="false">IF(A22="","",COUNTIF('Expense Log'!$B$5:$B$604,A22))</f>
        <v/>
      </c>
      <c r="K22" s="191" t="str">
        <f aca="false">IF(A22="","",IF(COUNTIF(Budget!$A$5:$A$34,C22)&gt;0,"yes","add it"))</f>
        <v/>
      </c>
    </row>
    <row r="23" customFormat="false" ht="15" hidden="false" customHeight="false" outlineLevel="0" collapsed="false">
      <c r="A23" s="154" t="str">
        <f aca="false">IFERROR(INDEX('Expense Log'!$B$5:$B$604,MATCH(3,'Expense Log'!$Q$5:$Q$604,0)),"")</f>
        <v/>
      </c>
      <c r="B23" s="159" t="str">
        <f aca="false">IF(A23="","",IFERROR(INDEX('Expense Log'!$K$5:$K$604,MATCH(3,'Expense Log'!$Q$5:$Q$604,0)),""))</f>
        <v/>
      </c>
      <c r="C23" s="154" t="str">
        <f aca="false">IF(A23="","",IFERROR(INDEX('Expense Log'!$F$5:$F$604,MATCH(3,'Expense Log'!$Q$5:$Q$604,0)),""))</f>
        <v/>
      </c>
      <c r="D23" s="190" t="str">
        <f aca="false">IF(A23="","",COUNTIF('Expense Log'!$B$5:$B$604,A23))</f>
        <v/>
      </c>
      <c r="K23" s="191" t="str">
        <f aca="false">IF(A23="","",IF(COUNTIF(Budget!$A$5:$A$34,C23)&gt;0,"yes","add it"))</f>
        <v/>
      </c>
    </row>
    <row r="24" customFormat="false" ht="15" hidden="false" customHeight="false" outlineLevel="0" collapsed="false">
      <c r="A24" s="154" t="str">
        <f aca="false">IFERROR(INDEX('Expense Log'!$B$5:$B$604,MATCH(4,'Expense Log'!$Q$5:$Q$604,0)),"")</f>
        <v/>
      </c>
      <c r="B24" s="159" t="str">
        <f aca="false">IF(A24="","",IFERROR(INDEX('Expense Log'!$K$5:$K$604,MATCH(4,'Expense Log'!$Q$5:$Q$604,0)),""))</f>
        <v/>
      </c>
      <c r="C24" s="154" t="str">
        <f aca="false">IF(A24="","",IFERROR(INDEX('Expense Log'!$F$5:$F$604,MATCH(4,'Expense Log'!$Q$5:$Q$604,0)),""))</f>
        <v/>
      </c>
      <c r="D24" s="190" t="str">
        <f aca="false">IF(A24="","",COUNTIF('Expense Log'!$B$5:$B$604,A24))</f>
        <v/>
      </c>
      <c r="K24" s="191" t="str">
        <f aca="false">IF(A24="","",IF(COUNTIF(Budget!$A$5:$A$34,C24)&gt;0,"yes","add it"))</f>
        <v/>
      </c>
    </row>
    <row r="25" customFormat="false" ht="15" hidden="false" customHeight="false" outlineLevel="0" collapsed="false">
      <c r="A25" s="154" t="str">
        <f aca="false">IFERROR(INDEX('Expense Log'!$B$5:$B$604,MATCH(5,'Expense Log'!$Q$5:$Q$604,0)),"")</f>
        <v/>
      </c>
      <c r="B25" s="159" t="str">
        <f aca="false">IF(A25="","",IFERROR(INDEX('Expense Log'!$K$5:$K$604,MATCH(5,'Expense Log'!$Q$5:$Q$604,0)),""))</f>
        <v/>
      </c>
      <c r="C25" s="154" t="str">
        <f aca="false">IF(A25="","",IFERROR(INDEX('Expense Log'!$F$5:$F$604,MATCH(5,'Expense Log'!$Q$5:$Q$604,0)),""))</f>
        <v/>
      </c>
      <c r="D25" s="190" t="str">
        <f aca="false">IF(A25="","",COUNTIF('Expense Log'!$B$5:$B$604,A25))</f>
        <v/>
      </c>
      <c r="K25" s="191" t="str">
        <f aca="false">IF(A25="","",IF(COUNTIF(Budget!$A$5:$A$34,C25)&gt;0,"yes","add it"))</f>
        <v/>
      </c>
    </row>
    <row r="26" customFormat="false" ht="15" hidden="false" customHeight="false" outlineLevel="0" collapsed="false">
      <c r="A26" s="154" t="str">
        <f aca="false">IFERROR(INDEX('Expense Log'!$B$5:$B$604,MATCH(6,'Expense Log'!$Q$5:$Q$604,0)),"")</f>
        <v/>
      </c>
      <c r="B26" s="159" t="str">
        <f aca="false">IF(A26="","",IFERROR(INDEX('Expense Log'!$K$5:$K$604,MATCH(6,'Expense Log'!$Q$5:$Q$604,0)),""))</f>
        <v/>
      </c>
      <c r="C26" s="154" t="str">
        <f aca="false">IF(A26="","",IFERROR(INDEX('Expense Log'!$F$5:$F$604,MATCH(6,'Expense Log'!$Q$5:$Q$604,0)),""))</f>
        <v/>
      </c>
      <c r="D26" s="190" t="str">
        <f aca="false">IF(A26="","",COUNTIF('Expense Log'!$B$5:$B$604,A26))</f>
        <v/>
      </c>
      <c r="K26" s="191" t="str">
        <f aca="false">IF(A26="","",IF(COUNTIF(Budget!$A$5:$A$34,C26)&gt;0,"yes","add it"))</f>
        <v/>
      </c>
    </row>
    <row r="27" customFormat="false" ht="15" hidden="false" customHeight="false" outlineLevel="0" collapsed="false">
      <c r="A27" s="154" t="str">
        <f aca="false">IFERROR(INDEX('Expense Log'!$B$5:$B$604,MATCH(7,'Expense Log'!$Q$5:$Q$604,0)),"")</f>
        <v/>
      </c>
      <c r="B27" s="159" t="str">
        <f aca="false">IF(A27="","",IFERROR(INDEX('Expense Log'!$K$5:$K$604,MATCH(7,'Expense Log'!$Q$5:$Q$604,0)),""))</f>
        <v/>
      </c>
      <c r="C27" s="154" t="str">
        <f aca="false">IF(A27="","",IFERROR(INDEX('Expense Log'!$F$5:$F$604,MATCH(7,'Expense Log'!$Q$5:$Q$604,0)),""))</f>
        <v/>
      </c>
      <c r="D27" s="190" t="str">
        <f aca="false">IF(A27="","",COUNTIF('Expense Log'!$B$5:$B$604,A27))</f>
        <v/>
      </c>
      <c r="K27" s="191" t="str">
        <f aca="false">IF(A27="","",IF(COUNTIF(Budget!$A$5:$A$34,C27)&gt;0,"yes","add it"))</f>
        <v/>
      </c>
    </row>
    <row r="28" customFormat="false" ht="15" hidden="false" customHeight="false" outlineLevel="0" collapsed="false">
      <c r="A28" s="154" t="str">
        <f aca="false">IFERROR(INDEX('Expense Log'!$B$5:$B$604,MATCH(8,'Expense Log'!$Q$5:$Q$604,0)),"")</f>
        <v/>
      </c>
      <c r="B28" s="159" t="str">
        <f aca="false">IF(A28="","",IFERROR(INDEX('Expense Log'!$K$5:$K$604,MATCH(8,'Expense Log'!$Q$5:$Q$604,0)),""))</f>
        <v/>
      </c>
      <c r="C28" s="154" t="str">
        <f aca="false">IF(A28="","",IFERROR(INDEX('Expense Log'!$F$5:$F$604,MATCH(8,'Expense Log'!$Q$5:$Q$604,0)),""))</f>
        <v/>
      </c>
      <c r="D28" s="190" t="str">
        <f aca="false">IF(A28="","",COUNTIF('Expense Log'!$B$5:$B$604,A28))</f>
        <v/>
      </c>
      <c r="K28" s="191" t="str">
        <f aca="false">IF(A28="","",IF(COUNTIF(Budget!$A$5:$A$34,C28)&gt;0,"yes","add it"))</f>
        <v/>
      </c>
    </row>
    <row r="29" customFormat="false" ht="15" hidden="false" customHeight="false" outlineLevel="0" collapsed="false">
      <c r="A29" s="154" t="str">
        <f aca="false">IFERROR(INDEX('Expense Log'!$B$5:$B$604,MATCH(9,'Expense Log'!$Q$5:$Q$604,0)),"")</f>
        <v/>
      </c>
      <c r="B29" s="159" t="str">
        <f aca="false">IF(A29="","",IFERROR(INDEX('Expense Log'!$K$5:$K$604,MATCH(9,'Expense Log'!$Q$5:$Q$604,0)),""))</f>
        <v/>
      </c>
      <c r="C29" s="154" t="str">
        <f aca="false">IF(A29="","",IFERROR(INDEX('Expense Log'!$F$5:$F$604,MATCH(9,'Expense Log'!$Q$5:$Q$604,0)),""))</f>
        <v/>
      </c>
      <c r="D29" s="190" t="str">
        <f aca="false">IF(A29="","",COUNTIF('Expense Log'!$B$5:$B$604,A29))</f>
        <v/>
      </c>
      <c r="K29" s="191" t="str">
        <f aca="false">IF(A29="","",IF(COUNTIF(Budget!$A$5:$A$34,C29)&gt;0,"yes","add it"))</f>
        <v/>
      </c>
    </row>
    <row r="30" customFormat="false" ht="15" hidden="false" customHeight="false" outlineLevel="0" collapsed="false">
      <c r="A30" s="154" t="str">
        <f aca="false">IFERROR(INDEX('Expense Log'!$B$5:$B$604,MATCH(10,'Expense Log'!$Q$5:$Q$604,0)),"")</f>
        <v/>
      </c>
      <c r="B30" s="159" t="str">
        <f aca="false">IF(A30="","",IFERROR(INDEX('Expense Log'!$K$5:$K$604,MATCH(10,'Expense Log'!$Q$5:$Q$604,0)),""))</f>
        <v/>
      </c>
      <c r="C30" s="154" t="str">
        <f aca="false">IF(A30="","",IFERROR(INDEX('Expense Log'!$F$5:$F$604,MATCH(10,'Expense Log'!$Q$5:$Q$604,0)),""))</f>
        <v/>
      </c>
      <c r="D30" s="190" t="str">
        <f aca="false">IF(A30="","",COUNTIF('Expense Log'!$B$5:$B$604,A30))</f>
        <v/>
      </c>
      <c r="K30" s="191" t="str">
        <f aca="false">IF(A30="","",IF(COUNTIF(Budget!$A$5:$A$34,C30)&gt;0,"yes","add it"))</f>
        <v/>
      </c>
    </row>
    <row r="31" customFormat="false" ht="15" hidden="false" customHeight="false" outlineLevel="0" collapsed="false">
      <c r="A31" s="154" t="str">
        <f aca="false">IFERROR(INDEX('Expense Log'!$B$5:$B$604,MATCH(11,'Expense Log'!$Q$5:$Q$604,0)),"")</f>
        <v/>
      </c>
      <c r="B31" s="159" t="str">
        <f aca="false">IF(A31="","",IFERROR(INDEX('Expense Log'!$K$5:$K$604,MATCH(11,'Expense Log'!$Q$5:$Q$604,0)),""))</f>
        <v/>
      </c>
      <c r="C31" s="154" t="str">
        <f aca="false">IF(A31="","",IFERROR(INDEX('Expense Log'!$F$5:$F$604,MATCH(11,'Expense Log'!$Q$5:$Q$604,0)),""))</f>
        <v/>
      </c>
      <c r="D31" s="190" t="str">
        <f aca="false">IF(A31="","",COUNTIF('Expense Log'!$B$5:$B$604,A31))</f>
        <v/>
      </c>
      <c r="K31" s="191" t="str">
        <f aca="false">IF(A31="","",IF(COUNTIF(Budget!$A$5:$A$34,C31)&gt;0,"yes","add it"))</f>
        <v/>
      </c>
    </row>
    <row r="32" customFormat="false" ht="15" hidden="false" customHeight="false" outlineLevel="0" collapsed="false">
      <c r="A32" s="154" t="str">
        <f aca="false">IFERROR(INDEX('Expense Log'!$B$5:$B$604,MATCH(12,'Expense Log'!$Q$5:$Q$604,0)),"")</f>
        <v/>
      </c>
      <c r="B32" s="159" t="str">
        <f aca="false">IF(A32="","",IFERROR(INDEX('Expense Log'!$K$5:$K$604,MATCH(12,'Expense Log'!$Q$5:$Q$604,0)),""))</f>
        <v/>
      </c>
      <c r="C32" s="154" t="str">
        <f aca="false">IF(A32="","",IFERROR(INDEX('Expense Log'!$F$5:$F$604,MATCH(12,'Expense Log'!$Q$5:$Q$604,0)),""))</f>
        <v/>
      </c>
      <c r="D32" s="190" t="str">
        <f aca="false">IF(A32="","",COUNTIF('Expense Log'!$B$5:$B$604,A32))</f>
        <v/>
      </c>
      <c r="K32" s="191" t="str">
        <f aca="false">IF(A32="","",IF(COUNTIF(Budget!$A$5:$A$34,C32)&gt;0,"yes","add it"))</f>
        <v/>
      </c>
    </row>
    <row r="33" customFormat="false" ht="15" hidden="false" customHeight="false" outlineLevel="0" collapsed="false">
      <c r="A33" s="154" t="str">
        <f aca="false">IFERROR(INDEX('Expense Log'!$B$5:$B$604,MATCH(13,'Expense Log'!$Q$5:$Q$604,0)),"")</f>
        <v/>
      </c>
      <c r="B33" s="159" t="str">
        <f aca="false">IF(A33="","",IFERROR(INDEX('Expense Log'!$K$5:$K$604,MATCH(13,'Expense Log'!$Q$5:$Q$604,0)),""))</f>
        <v/>
      </c>
      <c r="C33" s="154" t="str">
        <f aca="false">IF(A33="","",IFERROR(INDEX('Expense Log'!$F$5:$F$604,MATCH(13,'Expense Log'!$Q$5:$Q$604,0)),""))</f>
        <v/>
      </c>
      <c r="D33" s="190" t="str">
        <f aca="false">IF(A33="","",COUNTIF('Expense Log'!$B$5:$B$604,A33))</f>
        <v/>
      </c>
      <c r="K33" s="191" t="str">
        <f aca="false">IF(A33="","",IF(COUNTIF(Budget!$A$5:$A$34,C33)&gt;0,"yes","add it"))</f>
        <v/>
      </c>
    </row>
    <row r="34" customFormat="false" ht="15" hidden="false" customHeight="false" outlineLevel="0" collapsed="false">
      <c r="A34" s="154" t="str">
        <f aca="false">IFERROR(INDEX('Expense Log'!$B$5:$B$604,MATCH(14,'Expense Log'!$Q$5:$Q$604,0)),"")</f>
        <v/>
      </c>
      <c r="B34" s="159" t="str">
        <f aca="false">IF(A34="","",IFERROR(INDEX('Expense Log'!$K$5:$K$604,MATCH(14,'Expense Log'!$Q$5:$Q$604,0)),""))</f>
        <v/>
      </c>
      <c r="C34" s="154" t="str">
        <f aca="false">IF(A34="","",IFERROR(INDEX('Expense Log'!$F$5:$F$604,MATCH(14,'Expense Log'!$Q$5:$Q$604,0)),""))</f>
        <v/>
      </c>
      <c r="D34" s="190" t="str">
        <f aca="false">IF(A34="","",COUNTIF('Expense Log'!$B$5:$B$604,A34))</f>
        <v/>
      </c>
      <c r="K34" s="191" t="str">
        <f aca="false">IF(A34="","",IF(COUNTIF(Budget!$A$5:$A$34,C34)&gt;0,"yes","add it"))</f>
        <v/>
      </c>
    </row>
    <row r="35" customFormat="false" ht="15" hidden="false" customHeight="false" outlineLevel="0" collapsed="false">
      <c r="A35" s="154" t="str">
        <f aca="false">IFERROR(INDEX('Expense Log'!$B$5:$B$604,MATCH(15,'Expense Log'!$Q$5:$Q$604,0)),"")</f>
        <v/>
      </c>
      <c r="B35" s="159" t="str">
        <f aca="false">IF(A35="","",IFERROR(INDEX('Expense Log'!$K$5:$K$604,MATCH(15,'Expense Log'!$Q$5:$Q$604,0)),""))</f>
        <v/>
      </c>
      <c r="C35" s="154" t="str">
        <f aca="false">IF(A35="","",IFERROR(INDEX('Expense Log'!$F$5:$F$604,MATCH(15,'Expense Log'!$Q$5:$Q$604,0)),""))</f>
        <v/>
      </c>
      <c r="D35" s="190" t="str">
        <f aca="false">IF(A35="","",COUNTIF('Expense Log'!$B$5:$B$604,A35))</f>
        <v/>
      </c>
      <c r="K35" s="191" t="str">
        <f aca="false">IF(A35="","",IF(COUNTIF(Budget!$A$5:$A$34,C35)&gt;0,"yes","add it"))</f>
        <v/>
      </c>
    </row>
    <row r="36" customFormat="false" ht="15" hidden="false" customHeight="false" outlineLevel="0" collapsed="false">
      <c r="A36" s="154" t="str">
        <f aca="false">IFERROR(INDEX('Expense Log'!$B$5:$B$604,MATCH(16,'Expense Log'!$Q$5:$Q$604,0)),"")</f>
        <v/>
      </c>
      <c r="B36" s="159" t="str">
        <f aca="false">IF(A36="","",IFERROR(INDEX('Expense Log'!$K$5:$K$604,MATCH(16,'Expense Log'!$Q$5:$Q$604,0)),""))</f>
        <v/>
      </c>
      <c r="C36" s="154" t="str">
        <f aca="false">IF(A36="","",IFERROR(INDEX('Expense Log'!$F$5:$F$604,MATCH(16,'Expense Log'!$Q$5:$Q$604,0)),""))</f>
        <v/>
      </c>
      <c r="D36" s="190" t="str">
        <f aca="false">IF(A36="","",COUNTIF('Expense Log'!$B$5:$B$604,A36))</f>
        <v/>
      </c>
      <c r="K36" s="191" t="str">
        <f aca="false">IF(A36="","",IF(COUNTIF(Budget!$A$5:$A$34,C36)&gt;0,"yes","add it"))</f>
        <v/>
      </c>
    </row>
    <row r="37" customFormat="false" ht="15" hidden="false" customHeight="false" outlineLevel="0" collapsed="false">
      <c r="A37" s="154" t="str">
        <f aca="false">IFERROR(INDEX('Expense Log'!$B$5:$B$604,MATCH(17,'Expense Log'!$Q$5:$Q$604,0)),"")</f>
        <v/>
      </c>
      <c r="B37" s="159" t="str">
        <f aca="false">IF(A37="","",IFERROR(INDEX('Expense Log'!$K$5:$K$604,MATCH(17,'Expense Log'!$Q$5:$Q$604,0)),""))</f>
        <v/>
      </c>
      <c r="C37" s="154" t="str">
        <f aca="false">IF(A37="","",IFERROR(INDEX('Expense Log'!$F$5:$F$604,MATCH(17,'Expense Log'!$Q$5:$Q$604,0)),""))</f>
        <v/>
      </c>
      <c r="D37" s="190" t="str">
        <f aca="false">IF(A37="","",COUNTIF('Expense Log'!$B$5:$B$604,A37))</f>
        <v/>
      </c>
      <c r="K37" s="191" t="str">
        <f aca="false">IF(A37="","",IF(COUNTIF(Budget!$A$5:$A$34,C37)&gt;0,"yes","add it"))</f>
        <v/>
      </c>
    </row>
    <row r="38" customFormat="false" ht="15" hidden="false" customHeight="false" outlineLevel="0" collapsed="false">
      <c r="A38" s="154" t="str">
        <f aca="false">IFERROR(INDEX('Expense Log'!$B$5:$B$604,MATCH(18,'Expense Log'!$Q$5:$Q$604,0)),"")</f>
        <v/>
      </c>
      <c r="B38" s="159" t="str">
        <f aca="false">IF(A38="","",IFERROR(INDEX('Expense Log'!$K$5:$K$604,MATCH(18,'Expense Log'!$Q$5:$Q$604,0)),""))</f>
        <v/>
      </c>
      <c r="C38" s="154" t="str">
        <f aca="false">IF(A38="","",IFERROR(INDEX('Expense Log'!$F$5:$F$604,MATCH(18,'Expense Log'!$Q$5:$Q$604,0)),""))</f>
        <v/>
      </c>
      <c r="D38" s="190" t="str">
        <f aca="false">IF(A38="","",COUNTIF('Expense Log'!$B$5:$B$604,A38))</f>
        <v/>
      </c>
      <c r="K38" s="191" t="str">
        <f aca="false">IF(A38="","",IF(COUNTIF(Budget!$A$5:$A$34,C38)&gt;0,"yes","add it"))</f>
        <v/>
      </c>
    </row>
    <row r="39" customFormat="false" ht="15" hidden="false" customHeight="false" outlineLevel="0" collapsed="false">
      <c r="A39" s="154" t="str">
        <f aca="false">IFERROR(INDEX('Expense Log'!$B$5:$B$604,MATCH(19,'Expense Log'!$Q$5:$Q$604,0)),"")</f>
        <v/>
      </c>
      <c r="B39" s="159" t="str">
        <f aca="false">IF(A39="","",IFERROR(INDEX('Expense Log'!$K$5:$K$604,MATCH(19,'Expense Log'!$Q$5:$Q$604,0)),""))</f>
        <v/>
      </c>
      <c r="C39" s="154" t="str">
        <f aca="false">IF(A39="","",IFERROR(INDEX('Expense Log'!$F$5:$F$604,MATCH(19,'Expense Log'!$Q$5:$Q$604,0)),""))</f>
        <v/>
      </c>
      <c r="D39" s="190" t="str">
        <f aca="false">IF(A39="","",COUNTIF('Expense Log'!$B$5:$B$604,A39))</f>
        <v/>
      </c>
      <c r="K39" s="191" t="str">
        <f aca="false">IF(A39="","",IF(COUNTIF(Budget!$A$5:$A$34,C39)&gt;0,"yes","add it"))</f>
        <v/>
      </c>
    </row>
    <row r="40" customFormat="false" ht="15" hidden="false" customHeight="false" outlineLevel="0" collapsed="false">
      <c r="A40" s="154" t="str">
        <f aca="false">IFERROR(INDEX('Expense Log'!$B$5:$B$604,MATCH(20,'Expense Log'!$Q$5:$Q$604,0)),"")</f>
        <v/>
      </c>
      <c r="B40" s="159" t="str">
        <f aca="false">IF(A40="","",IFERROR(INDEX('Expense Log'!$K$5:$K$604,MATCH(20,'Expense Log'!$Q$5:$Q$604,0)),""))</f>
        <v/>
      </c>
      <c r="C40" s="154" t="str">
        <f aca="false">IF(A40="","",IFERROR(INDEX('Expense Log'!$F$5:$F$604,MATCH(20,'Expense Log'!$Q$5:$Q$604,0)),""))</f>
        <v/>
      </c>
      <c r="D40" s="190" t="str">
        <f aca="false">IF(A40="","",COUNTIF('Expense Log'!$B$5:$B$604,A40))</f>
        <v/>
      </c>
      <c r="K40" s="191" t="str">
        <f aca="false">IF(A40="","",IF(COUNTIF(Budget!$A$5:$A$34,C40)&gt;0,"yes","add it"))</f>
        <v/>
      </c>
    </row>
    <row r="41" customFormat="false" ht="15" hidden="false" customHeight="false" outlineLevel="0" collapsed="false">
      <c r="A41" s="21" t="s">
        <v>1138</v>
      </c>
    </row>
  </sheetData>
  <sheetProtection sheet="true" scenarios="true" formatCells="false" formatColumns="false" formatRows="false" sort="false" autoFilter="false"/>
  <mergeCells count="8">
    <mergeCell ref="B2:C2"/>
    <mergeCell ref="D2:E2"/>
    <mergeCell ref="F2:G2"/>
    <mergeCell ref="H2:I2"/>
    <mergeCell ref="B3:C3"/>
    <mergeCell ref="D3:E3"/>
    <mergeCell ref="F3:G3"/>
    <mergeCell ref="H3:I3"/>
  </mergeCells>
  <conditionalFormatting sqref="K6:K16">
    <cfRule type="cellIs" priority="2" operator="equal" aboveAverage="0" equalAverage="0" bottom="0" percent="0" rank="0" text="" dxfId="3">
      <formula>"matches"</formula>
    </cfRule>
    <cfRule type="cellIs" priority="3" operator="equal" aboveAverage="0" equalAverage="0" bottom="0" percent="0" rank="0" text="" dxfId="30">
      <formula>"check"</formula>
    </cfRule>
  </conditionalFormatting>
  <conditionalFormatting sqref="A6:K16">
    <cfRule type="expression" priority="4" aboveAverage="0" equalAverage="0" bottom="0" percent="0" rank="0" text="" dxfId="5">
      <formula>MOD(ROW(),2)=0</formula>
    </cfRule>
  </conditionalFormatting>
  <conditionalFormatting sqref="K21:K40">
    <cfRule type="cellIs" priority="5" operator="equal" aboveAverage="0" equalAverage="0" bottom="0" percent="0" rank="0" text="" dxfId="3">
      <formula>"yes"</formula>
    </cfRule>
    <cfRule type="cellIs" priority="6" operator="equal" aboveAverage="0" equalAverage="0" bottom="0" percent="0" rank="0" text="" dxfId="4">
      <formula>"add it"</formula>
    </cfRule>
  </conditionalFormatting>
  <conditionalFormatting sqref="A21:K40">
    <cfRule type="expression" priority="7" aboveAverage="0" equalAverage="0" bottom="0" percent="0" rank="0" text="" dxfId="5">
      <formula>MOD(ROW(),2)=0</formula>
    </cfRule>
  </conditionalFormatting>
  <conditionalFormatting sqref="N17:P17">
    <cfRule type="cellIs" priority="8" operator="lessThan" aboveAverage="0" equalAverage="0" bottom="0" percent="0" rank="0" text="" dxfId="7">
      <formula>0</formula>
    </cfRule>
  </conditionalFormatting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Reconcile&amp;R&amp;8 Page &amp;P of &amp;N · printed &amp;D</oddFooter>
  </headerFooter>
  <legacy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7" min="6" style="0" width="18"/>
    <col collapsed="false" customWidth="true" hidden="false" outlineLevel="0" max="8" min="8" style="0" width="4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1139</v>
      </c>
    </row>
    <row r="3" customFormat="false" ht="15" hidden="false" customHeight="false" outlineLevel="0" collapsed="false">
      <c r="A3" s="21" t="s">
        <v>1140</v>
      </c>
    </row>
    <row r="4" customFormat="false" ht="19.5" hidden="false" customHeight="true" outlineLevel="0" collapsed="false">
      <c r="A4" s="107" t="s">
        <v>731</v>
      </c>
      <c r="B4" s="107" t="s">
        <v>1141</v>
      </c>
      <c r="C4" s="107" t="s">
        <v>1142</v>
      </c>
      <c r="D4" s="107" t="s">
        <v>1123</v>
      </c>
      <c r="E4" s="107" t="s">
        <v>1124</v>
      </c>
      <c r="F4" s="107" t="s">
        <v>1143</v>
      </c>
      <c r="G4" s="107" t="s">
        <v>1144</v>
      </c>
      <c r="H4" s="107" t="s">
        <v>163</v>
      </c>
    </row>
    <row r="5" customFormat="false" ht="15" hidden="false" customHeight="false" outlineLevel="0" collapsed="false">
      <c r="A5" s="192" t="n">
        <f aca="false">Forecast!C3</f>
        <v>46296</v>
      </c>
      <c r="B5" s="114" t="n">
        <f aca="false">Forecast!C53</f>
        <v>0</v>
      </c>
      <c r="C5" s="160"/>
      <c r="D5" s="147" t="str">
        <f aca="false">IF(C5="","",C5-B5)</f>
        <v/>
      </c>
      <c r="E5" s="156" t="str">
        <f aca="false">IF(C5="","",IF(D5&gt;=0,"Ahead","Behind"))</f>
        <v/>
      </c>
      <c r="F5" s="114" t="n">
        <f aca="false">'Monthly Actuals'!F36</f>
        <v>86.42</v>
      </c>
      <c r="G5" s="114" t="n">
        <f aca="false">Forecast!C51</f>
        <v>0</v>
      </c>
      <c r="H5" s="108"/>
    </row>
    <row r="6" customFormat="false" ht="15" hidden="false" customHeight="false" outlineLevel="0" collapsed="false">
      <c r="A6" s="192" t="n">
        <f aca="false">Forecast!D3</f>
        <v>46327</v>
      </c>
      <c r="B6" s="114" t="n">
        <f aca="false">Forecast!D53</f>
        <v>0</v>
      </c>
      <c r="C6" s="160"/>
      <c r="D6" s="147" t="str">
        <f aca="false">IF(C6="","",C6-B6)</f>
        <v/>
      </c>
      <c r="E6" s="156" t="str">
        <f aca="false">IF(C6="","",IF(D6&gt;=0,"Ahead","Behind"))</f>
        <v/>
      </c>
      <c r="F6" s="114" t="n">
        <f aca="false">'Monthly Actuals'!G36</f>
        <v>0</v>
      </c>
      <c r="G6" s="114" t="n">
        <f aca="false">Forecast!D51</f>
        <v>0</v>
      </c>
      <c r="H6" s="108"/>
    </row>
    <row r="7" customFormat="false" ht="15" hidden="false" customHeight="false" outlineLevel="0" collapsed="false">
      <c r="A7" s="192" t="n">
        <f aca="false">Forecast!E3</f>
        <v>46357</v>
      </c>
      <c r="B7" s="114" t="n">
        <f aca="false">Forecast!E53</f>
        <v>0</v>
      </c>
      <c r="C7" s="160"/>
      <c r="D7" s="147" t="str">
        <f aca="false">IF(C7="","",C7-B7)</f>
        <v/>
      </c>
      <c r="E7" s="156" t="str">
        <f aca="false">IF(C7="","",IF(D7&gt;=0,"Ahead","Behind"))</f>
        <v/>
      </c>
      <c r="F7" s="114" t="n">
        <f aca="false">'Monthly Actuals'!H36</f>
        <v>0</v>
      </c>
      <c r="G7" s="114" t="n">
        <f aca="false">Forecast!E51</f>
        <v>0</v>
      </c>
      <c r="H7" s="108"/>
    </row>
    <row r="8" customFormat="false" ht="15" hidden="false" customHeight="false" outlineLevel="0" collapsed="false">
      <c r="A8" s="192" t="n">
        <f aca="false">Forecast!F3</f>
        <v>46388</v>
      </c>
      <c r="B8" s="114" t="n">
        <f aca="false">Forecast!F53</f>
        <v>0</v>
      </c>
      <c r="C8" s="160"/>
      <c r="D8" s="147" t="str">
        <f aca="false">IF(C8="","",C8-B8)</f>
        <v/>
      </c>
      <c r="E8" s="156" t="str">
        <f aca="false">IF(C8="","",IF(D8&gt;=0,"Ahead","Behind"))</f>
        <v/>
      </c>
      <c r="F8" s="114" t="n">
        <f aca="false">'Monthly Actuals'!I36</f>
        <v>0</v>
      </c>
      <c r="G8" s="114" t="n">
        <f aca="false">Forecast!F51</f>
        <v>0</v>
      </c>
      <c r="H8" s="108"/>
    </row>
    <row r="9" customFormat="false" ht="15" hidden="false" customHeight="false" outlineLevel="0" collapsed="false">
      <c r="A9" s="192" t="n">
        <f aca="false">Forecast!G3</f>
        <v>46419</v>
      </c>
      <c r="B9" s="114" t="n">
        <f aca="false">Forecast!G53</f>
        <v>0</v>
      </c>
      <c r="C9" s="160"/>
      <c r="D9" s="147" t="str">
        <f aca="false">IF(C9="","",C9-B9)</f>
        <v/>
      </c>
      <c r="E9" s="156" t="str">
        <f aca="false">IF(C9="","",IF(D9&gt;=0,"Ahead","Behind"))</f>
        <v/>
      </c>
      <c r="F9" s="114" t="n">
        <f aca="false">'Monthly Actuals'!J36</f>
        <v>0</v>
      </c>
      <c r="G9" s="114" t="n">
        <f aca="false">Forecast!G51</f>
        <v>0</v>
      </c>
      <c r="H9" s="108"/>
    </row>
    <row r="10" customFormat="false" ht="15" hidden="false" customHeight="false" outlineLevel="0" collapsed="false">
      <c r="A10" s="192" t="n">
        <f aca="false">Forecast!H3</f>
        <v>46447</v>
      </c>
      <c r="B10" s="114" t="n">
        <f aca="false">Forecast!H53</f>
        <v>0</v>
      </c>
      <c r="C10" s="160"/>
      <c r="D10" s="147" t="str">
        <f aca="false">IF(C10="","",C10-B10)</f>
        <v/>
      </c>
      <c r="E10" s="156" t="str">
        <f aca="false">IF(C10="","",IF(D10&gt;=0,"Ahead","Behind"))</f>
        <v/>
      </c>
      <c r="F10" s="114" t="n">
        <f aca="false">'Monthly Actuals'!K36</f>
        <v>0</v>
      </c>
      <c r="G10" s="114" t="n">
        <f aca="false">Forecast!H51</f>
        <v>0</v>
      </c>
      <c r="H10" s="108"/>
    </row>
    <row r="11" customFormat="false" ht="15" hidden="false" customHeight="false" outlineLevel="0" collapsed="false">
      <c r="A11" s="192" t="n">
        <f aca="false">Forecast!I3</f>
        <v>46478</v>
      </c>
      <c r="B11" s="114" t="n">
        <f aca="false">Forecast!I53</f>
        <v>0</v>
      </c>
      <c r="C11" s="160"/>
      <c r="D11" s="147" t="str">
        <f aca="false">IF(C11="","",C11-B11)</f>
        <v/>
      </c>
      <c r="E11" s="156" t="str">
        <f aca="false">IF(C11="","",IF(D11&gt;=0,"Ahead","Behind"))</f>
        <v/>
      </c>
      <c r="F11" s="114" t="n">
        <f aca="false">'Monthly Actuals'!L36</f>
        <v>0</v>
      </c>
      <c r="G11" s="114" t="n">
        <f aca="false">Forecast!I51</f>
        <v>0</v>
      </c>
      <c r="H11" s="108"/>
    </row>
    <row r="12" customFormat="false" ht="15" hidden="false" customHeight="false" outlineLevel="0" collapsed="false">
      <c r="A12" s="192" t="n">
        <f aca="false">Forecast!J3</f>
        <v>46508</v>
      </c>
      <c r="B12" s="114" t="n">
        <f aca="false">Forecast!J53</f>
        <v>0</v>
      </c>
      <c r="C12" s="160"/>
      <c r="D12" s="147" t="str">
        <f aca="false">IF(C12="","",C12-B12)</f>
        <v/>
      </c>
      <c r="E12" s="156" t="str">
        <f aca="false">IF(C12="","",IF(D12&gt;=0,"Ahead","Behind"))</f>
        <v/>
      </c>
      <c r="F12" s="114" t="n">
        <f aca="false">'Monthly Actuals'!M36</f>
        <v>0</v>
      </c>
      <c r="G12" s="114" t="n">
        <f aca="false">Forecast!J51</f>
        <v>0</v>
      </c>
      <c r="H12" s="108"/>
    </row>
    <row r="13" customFormat="false" ht="15" hidden="false" customHeight="false" outlineLevel="0" collapsed="false">
      <c r="A13" s="192" t="n">
        <f aca="false">Forecast!K3</f>
        <v>46539</v>
      </c>
      <c r="B13" s="114" t="n">
        <f aca="false">Forecast!K53</f>
        <v>0</v>
      </c>
      <c r="C13" s="160"/>
      <c r="D13" s="147" t="str">
        <f aca="false">IF(C13="","",C13-B13)</f>
        <v/>
      </c>
      <c r="E13" s="156" t="str">
        <f aca="false">IF(C13="","",IF(D13&gt;=0,"Ahead","Behind"))</f>
        <v/>
      </c>
      <c r="F13" s="114" t="n">
        <f aca="false">'Monthly Actuals'!N36</f>
        <v>0</v>
      </c>
      <c r="G13" s="114" t="n">
        <f aca="false">Forecast!K51</f>
        <v>0</v>
      </c>
      <c r="H13" s="108"/>
    </row>
    <row r="14" customFormat="false" ht="15" hidden="false" customHeight="false" outlineLevel="0" collapsed="false">
      <c r="A14" s="192" t="n">
        <f aca="false">Forecast!L3</f>
        <v>46569</v>
      </c>
      <c r="B14" s="114" t="n">
        <f aca="false">Forecast!L53</f>
        <v>0</v>
      </c>
      <c r="C14" s="160"/>
      <c r="D14" s="147" t="str">
        <f aca="false">IF(C14="","",C14-B14)</f>
        <v/>
      </c>
      <c r="E14" s="156" t="str">
        <f aca="false">IF(C14="","",IF(D14&gt;=0,"Ahead","Behind"))</f>
        <v/>
      </c>
      <c r="F14" s="114" t="n">
        <f aca="false">'Monthly Actuals'!O36</f>
        <v>0</v>
      </c>
      <c r="G14" s="114" t="n">
        <f aca="false">Forecast!L51</f>
        <v>0</v>
      </c>
      <c r="H14" s="108"/>
    </row>
    <row r="15" customFormat="false" ht="15" hidden="false" customHeight="false" outlineLevel="0" collapsed="false">
      <c r="A15" s="192" t="n">
        <f aca="false">Forecast!M3</f>
        <v>46600</v>
      </c>
      <c r="B15" s="114" t="n">
        <f aca="false">Forecast!M53</f>
        <v>0</v>
      </c>
      <c r="C15" s="160"/>
      <c r="D15" s="147" t="str">
        <f aca="false">IF(C15="","",C15-B15)</f>
        <v/>
      </c>
      <c r="E15" s="156" t="str">
        <f aca="false">IF(C15="","",IF(D15&gt;=0,"Ahead","Behind"))</f>
        <v/>
      </c>
      <c r="F15" s="114" t="n">
        <f aca="false">'Monthly Actuals'!P36</f>
        <v>0</v>
      </c>
      <c r="G15" s="114" t="n">
        <f aca="false">Forecast!M51</f>
        <v>0</v>
      </c>
      <c r="H15" s="108"/>
    </row>
    <row r="16" customFormat="false" ht="15" hidden="false" customHeight="false" outlineLevel="0" collapsed="false">
      <c r="A16" s="192" t="n">
        <f aca="false">Forecast!N3</f>
        <v>46631</v>
      </c>
      <c r="B16" s="114" t="n">
        <f aca="false">Forecast!N53</f>
        <v>0</v>
      </c>
      <c r="C16" s="160"/>
      <c r="D16" s="147" t="str">
        <f aca="false">IF(C16="","",C16-B16)</f>
        <v/>
      </c>
      <c r="E16" s="156" t="str">
        <f aca="false">IF(C16="","",IF(D16&gt;=0,"Ahead","Behind"))</f>
        <v/>
      </c>
      <c r="F16" s="114" t="n">
        <f aca="false">'Monthly Actuals'!Q36</f>
        <v>0</v>
      </c>
      <c r="G16" s="114" t="n">
        <f aca="false">Forecast!N51</f>
        <v>0</v>
      </c>
      <c r="H16" s="108"/>
    </row>
    <row r="17" customFormat="false" ht="15" hidden="false" customHeight="false" outlineLevel="0" collapsed="false">
      <c r="A17" s="192" t="n">
        <f aca="false">Forecast!O3</f>
        <v>46661</v>
      </c>
      <c r="B17" s="114" t="n">
        <f aca="false">Forecast!O53</f>
        <v>0</v>
      </c>
      <c r="C17" s="160"/>
      <c r="D17" s="147" t="str">
        <f aca="false">IF(C17="","",C17-B17)</f>
        <v/>
      </c>
      <c r="E17" s="156" t="str">
        <f aca="false">IF(C17="","",IF(D17&gt;=0,"Ahead","Behind"))</f>
        <v/>
      </c>
      <c r="F17" s="114" t="n">
        <f aca="false">'Monthly Actuals'!R36</f>
        <v>0</v>
      </c>
      <c r="G17" s="114" t="n">
        <f aca="false">Forecast!O51</f>
        <v>0</v>
      </c>
      <c r="H17" s="108"/>
    </row>
    <row r="18" customFormat="false" ht="15" hidden="false" customHeight="false" outlineLevel="0" collapsed="false">
      <c r="A18" s="192" t="n">
        <f aca="false">Forecast!P3</f>
        <v>46692</v>
      </c>
      <c r="B18" s="114" t="n">
        <f aca="false">Forecast!P53</f>
        <v>0</v>
      </c>
      <c r="C18" s="160"/>
      <c r="D18" s="147" t="str">
        <f aca="false">IF(C18="","",C18-B18)</f>
        <v/>
      </c>
      <c r="E18" s="156" t="str">
        <f aca="false">IF(C18="","",IF(D18&gt;=0,"Ahead","Behind"))</f>
        <v/>
      </c>
      <c r="F18" s="114" t="n">
        <f aca="false">'Monthly Actuals'!S36</f>
        <v>0</v>
      </c>
      <c r="G18" s="114" t="n">
        <f aca="false">Forecast!P51</f>
        <v>0</v>
      </c>
      <c r="H18" s="108"/>
    </row>
    <row r="19" customFormat="false" ht="15" hidden="false" customHeight="false" outlineLevel="0" collapsed="false">
      <c r="A19" s="192" t="n">
        <f aca="false">Forecast!Q3</f>
        <v>46722</v>
      </c>
      <c r="B19" s="114" t="n">
        <f aca="false">Forecast!Q53</f>
        <v>0</v>
      </c>
      <c r="C19" s="160"/>
      <c r="D19" s="147" t="str">
        <f aca="false">IF(C19="","",C19-B19)</f>
        <v/>
      </c>
      <c r="E19" s="156" t="str">
        <f aca="false">IF(C19="","",IF(D19&gt;=0,"Ahead","Behind"))</f>
        <v/>
      </c>
      <c r="F19" s="114" t="n">
        <f aca="false">'Monthly Actuals'!T36</f>
        <v>0</v>
      </c>
      <c r="G19" s="114" t="n">
        <f aca="false">Forecast!Q51</f>
        <v>0</v>
      </c>
      <c r="H19" s="108"/>
    </row>
    <row r="20" customFormat="false" ht="15" hidden="false" customHeight="false" outlineLevel="0" collapsed="false">
      <c r="A20" s="192" t="n">
        <f aca="false">Forecast!R3</f>
        <v>46753</v>
      </c>
      <c r="B20" s="114" t="n">
        <f aca="false">Forecast!R53</f>
        <v>0</v>
      </c>
      <c r="C20" s="160"/>
      <c r="D20" s="147" t="str">
        <f aca="false">IF(C20="","",C20-B20)</f>
        <v/>
      </c>
      <c r="E20" s="156" t="str">
        <f aca="false">IF(C20="","",IF(D20&gt;=0,"Ahead","Behind"))</f>
        <v/>
      </c>
      <c r="F20" s="114" t="n">
        <f aca="false">'Monthly Actuals'!U36</f>
        <v>0</v>
      </c>
      <c r="G20" s="114" t="n">
        <f aca="false">Forecast!R51</f>
        <v>0</v>
      </c>
      <c r="H20" s="108"/>
    </row>
    <row r="21" customFormat="false" ht="15" hidden="false" customHeight="false" outlineLevel="0" collapsed="false">
      <c r="A21" s="192" t="n">
        <f aca="false">Forecast!S3</f>
        <v>46784</v>
      </c>
      <c r="B21" s="114" t="n">
        <f aca="false">Forecast!S53</f>
        <v>0</v>
      </c>
      <c r="C21" s="160"/>
      <c r="D21" s="147" t="str">
        <f aca="false">IF(C21="","",C21-B21)</f>
        <v/>
      </c>
      <c r="E21" s="156" t="str">
        <f aca="false">IF(C21="","",IF(D21&gt;=0,"Ahead","Behind"))</f>
        <v/>
      </c>
      <c r="F21" s="114" t="n">
        <f aca="false">'Monthly Actuals'!V36</f>
        <v>0</v>
      </c>
      <c r="G21" s="114" t="n">
        <f aca="false">Forecast!S51</f>
        <v>0</v>
      </c>
      <c r="H21" s="108"/>
    </row>
    <row r="22" customFormat="false" ht="15" hidden="false" customHeight="false" outlineLevel="0" collapsed="false">
      <c r="A22" s="192" t="n">
        <f aca="false">Forecast!T3</f>
        <v>46813</v>
      </c>
      <c r="B22" s="114" t="n">
        <f aca="false">Forecast!T53</f>
        <v>0</v>
      </c>
      <c r="C22" s="160"/>
      <c r="D22" s="147" t="str">
        <f aca="false">IF(C22="","",C22-B22)</f>
        <v/>
      </c>
      <c r="E22" s="156" t="str">
        <f aca="false">IF(C22="","",IF(D22&gt;=0,"Ahead","Behind"))</f>
        <v/>
      </c>
      <c r="F22" s="114" t="n">
        <f aca="false">'Monthly Actuals'!W36</f>
        <v>0</v>
      </c>
      <c r="G22" s="114" t="n">
        <f aca="false">Forecast!T51</f>
        <v>0</v>
      </c>
      <c r="H22" s="108"/>
    </row>
    <row r="23" customFormat="false" ht="15" hidden="false" customHeight="false" outlineLevel="0" collapsed="false">
      <c r="A23" s="192" t="n">
        <f aca="false">Forecast!U3</f>
        <v>46844</v>
      </c>
      <c r="B23" s="114" t="n">
        <f aca="false">Forecast!U53</f>
        <v>0</v>
      </c>
      <c r="C23" s="160"/>
      <c r="D23" s="147" t="str">
        <f aca="false">IF(C23="","",C23-B23)</f>
        <v/>
      </c>
      <c r="E23" s="156" t="str">
        <f aca="false">IF(C23="","",IF(D23&gt;=0,"Ahead","Behind"))</f>
        <v/>
      </c>
      <c r="F23" s="114" t="n">
        <f aca="false">'Monthly Actuals'!X36</f>
        <v>0</v>
      </c>
      <c r="G23" s="114" t="n">
        <f aca="false">Forecast!U51</f>
        <v>0</v>
      </c>
      <c r="H23" s="108"/>
    </row>
    <row r="24" customFormat="false" ht="15" hidden="false" customHeight="false" outlineLevel="0" collapsed="false">
      <c r="A24" s="192" t="n">
        <f aca="false">Forecast!V3</f>
        <v>46874</v>
      </c>
      <c r="B24" s="114" t="n">
        <f aca="false">Forecast!V53</f>
        <v>0</v>
      </c>
      <c r="C24" s="160"/>
      <c r="D24" s="147" t="str">
        <f aca="false">IF(C24="","",C24-B24)</f>
        <v/>
      </c>
      <c r="E24" s="156" t="str">
        <f aca="false">IF(C24="","",IF(D24&gt;=0,"Ahead","Behind"))</f>
        <v/>
      </c>
      <c r="F24" s="114" t="n">
        <f aca="false">'Monthly Actuals'!Y36</f>
        <v>0</v>
      </c>
      <c r="G24" s="114" t="n">
        <f aca="false">Forecast!V51</f>
        <v>0</v>
      </c>
      <c r="H24" s="108"/>
    </row>
  </sheetData>
  <sheetProtection sheet="true" scenarios="true" formatCells="false" formatColumns="false" formatRows="false" sort="false" autoFilter="false"/>
  <conditionalFormatting sqref="E5:E24">
    <cfRule type="cellIs" priority="2" operator="equal" aboveAverage="0" equalAverage="0" bottom="0" percent="0" rank="0" text="" dxfId="31">
      <formula>"Behind"</formula>
    </cfRule>
    <cfRule type="cellIs" priority="3" operator="equal" aboveAverage="0" equalAverage="0" bottom="0" percent="0" rank="0" text="" dxfId="32">
      <formula>"Ahead"</formula>
    </cfRule>
    <cfRule type="cellIs" priority="4" operator="equal" aboveAverage="0" equalAverage="0" bottom="0" percent="0" rank="0" text="" dxfId="3">
      <formula>"Ahead"</formula>
    </cfRule>
    <cfRule type="cellIs" priority="5" operator="equal" aboveAverage="0" equalAverage="0" bottom="0" percent="0" rank="0" text="" dxfId="30">
      <formula>"Behind"</formula>
    </cfRule>
  </conditionalFormatting>
  <conditionalFormatting sqref="A5:H24">
    <cfRule type="expression" priority="6" aboveAverage="0" equalAverage="0" bottom="0" percent="0" rank="0" text="" dxfId="5">
      <formula>MOD(ROW(),2)=0</formula>
    </cfRule>
  </conditionalFormatting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Tracker&amp;R&amp;8 Page &amp;P of &amp;N · printed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60"/>
    <col collapsed="false" customWidth="true" hidden="false" outlineLevel="0" max="5" min="5" style="0" width="14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43</v>
      </c>
      <c r="C2" s="139" t="s">
        <v>1145</v>
      </c>
      <c r="D2" s="139" t="s">
        <v>1146</v>
      </c>
      <c r="E2" s="139" t="s">
        <v>1147</v>
      </c>
    </row>
    <row r="3" customFormat="false" ht="24" hidden="false" customHeight="true" outlineLevel="0" collapsed="false">
      <c r="A3" s="21" t="s">
        <v>1148</v>
      </c>
      <c r="C3" s="182" t="n">
        <f aca="false">COUNTIF(E5:E19,"&lt;&gt;Done")</f>
        <v>15</v>
      </c>
      <c r="D3" s="182" t="n">
        <f aca="true">COUNTIFS(E5:E19,"&lt;&gt;Done",C5:C19,"*"&amp;TEXT(TODAY(),"mmm yyyy")&amp;"*")</f>
        <v>4</v>
      </c>
      <c r="E3" s="182" t="n">
        <f aca="false">COUNTIF(E5:E19,"Done")</f>
        <v>0</v>
      </c>
    </row>
    <row r="4" customFormat="false" ht="19.5" hidden="false" customHeight="true" outlineLevel="0" collapsed="false">
      <c r="A4" s="107" t="s">
        <v>1149</v>
      </c>
      <c r="B4" s="107" t="s">
        <v>1150</v>
      </c>
      <c r="C4" s="107" t="s">
        <v>1151</v>
      </c>
      <c r="D4" s="107" t="s">
        <v>1152</v>
      </c>
      <c r="E4" s="107" t="s">
        <v>1124</v>
      </c>
    </row>
    <row r="5" customFormat="false" ht="25.35" hidden="false" customHeight="false" outlineLevel="0" collapsed="false">
      <c r="A5" s="156" t="n">
        <v>1</v>
      </c>
      <c r="B5" s="193" t="s">
        <v>1153</v>
      </c>
      <c r="C5" s="144" t="str">
        <f aca="false">TEXT(EDATE(Inputs!$B$5,0),"mmm yyyy")</f>
        <v>Oct 2026</v>
      </c>
      <c r="D5" s="194" t="s">
        <v>1154</v>
      </c>
      <c r="E5" s="144" t="s">
        <v>1155</v>
      </c>
    </row>
    <row r="6" customFormat="false" ht="25.35" hidden="false" customHeight="false" outlineLevel="0" collapsed="false">
      <c r="A6" s="156" t="n">
        <v>2</v>
      </c>
      <c r="B6" s="193" t="s">
        <v>1156</v>
      </c>
      <c r="C6" s="144" t="str">
        <f aca="false">TEXT(EDATE(Inputs!$B$5,0),"mmm yyyy")</f>
        <v>Oct 2026</v>
      </c>
      <c r="D6" s="194" t="s">
        <v>1157</v>
      </c>
      <c r="E6" s="144" t="s">
        <v>1155</v>
      </c>
    </row>
    <row r="7" customFormat="false" ht="25.35" hidden="false" customHeight="false" outlineLevel="0" collapsed="false">
      <c r="A7" s="156" t="n">
        <v>3</v>
      </c>
      <c r="B7" s="193" t="s">
        <v>1158</v>
      </c>
      <c r="C7" s="144" t="str">
        <f aca="false">TEXT(EDATE(Inputs!$B$5,0),"mmm yyyy")</f>
        <v>Oct 2026</v>
      </c>
      <c r="D7" s="194" t="s">
        <v>1159</v>
      </c>
      <c r="E7" s="144" t="s">
        <v>1155</v>
      </c>
    </row>
    <row r="8" customFormat="false" ht="15" hidden="false" customHeight="false" outlineLevel="0" collapsed="false">
      <c r="A8" s="156" t="n">
        <v>4</v>
      </c>
      <c r="B8" s="193" t="s">
        <v>1160</v>
      </c>
      <c r="C8" s="144" t="str">
        <f aca="false">TEXT(EDATE(Inputs!$B$5,0),"mmm yyyy")</f>
        <v>Oct 2026</v>
      </c>
      <c r="D8" s="194" t="s">
        <v>1161</v>
      </c>
      <c r="E8" s="144" t="s">
        <v>1155</v>
      </c>
    </row>
    <row r="9" customFormat="false" ht="25.35" hidden="false" customHeight="false" outlineLevel="0" collapsed="false">
      <c r="A9" s="156" t="n">
        <v>5</v>
      </c>
      <c r="B9" s="193" t="s">
        <v>1162</v>
      </c>
      <c r="C9" s="144" t="str">
        <f aca="false">TEXT(EDATE(Inputs!$B$5,1),"mmm yyyy")</f>
        <v>Nov 2026</v>
      </c>
      <c r="D9" s="194" t="s">
        <v>1163</v>
      </c>
      <c r="E9" s="144" t="s">
        <v>1155</v>
      </c>
    </row>
    <row r="10" customFormat="false" ht="25.35" hidden="false" customHeight="false" outlineLevel="0" collapsed="false">
      <c r="A10" s="156" t="n">
        <v>6</v>
      </c>
      <c r="B10" s="193" t="s">
        <v>1164</v>
      </c>
      <c r="C10" s="144" t="str">
        <f aca="false">TEXT(EDATE(Inputs!$B$5,1),"mmm yyyy")</f>
        <v>Nov 2026</v>
      </c>
      <c r="D10" s="194" t="s">
        <v>1165</v>
      </c>
      <c r="E10" s="144" t="s">
        <v>1155</v>
      </c>
    </row>
    <row r="11" customFormat="false" ht="15" hidden="false" customHeight="false" outlineLevel="0" collapsed="false">
      <c r="A11" s="156" t="n">
        <v>7</v>
      </c>
      <c r="B11" s="193" t="s">
        <v>1166</v>
      </c>
      <c r="C11" s="144" t="str">
        <f aca="false">TEXT(EDATE(Inputs!$B$5,1),"mmm yyyy")</f>
        <v>Nov 2026</v>
      </c>
      <c r="D11" s="194" t="s">
        <v>1167</v>
      </c>
      <c r="E11" s="144" t="s">
        <v>1155</v>
      </c>
    </row>
    <row r="12" customFormat="false" ht="23.85" hidden="false" customHeight="false" outlineLevel="0" collapsed="false">
      <c r="A12" s="156" t="n">
        <v>8</v>
      </c>
      <c r="B12" s="193" t="s">
        <v>1168</v>
      </c>
      <c r="C12" s="144" t="str">
        <f aca="false">TEXT(EDATE(Inputs!$B$5,2),"mmm yyyy")</f>
        <v>Dec 2026</v>
      </c>
      <c r="D12" s="194" t="s">
        <v>1169</v>
      </c>
      <c r="E12" s="144" t="s">
        <v>1155</v>
      </c>
    </row>
    <row r="13" customFormat="false" ht="25.35" hidden="false" customHeight="false" outlineLevel="0" collapsed="false">
      <c r="A13" s="156" t="n">
        <v>9</v>
      </c>
      <c r="B13" s="193" t="s">
        <v>1170</v>
      </c>
      <c r="C13" s="144" t="str">
        <f aca="false">TEXT(EDATE(Inputs!$B$5,1),"mmm yyyy")</f>
        <v>Nov 2026</v>
      </c>
      <c r="D13" s="194" t="s">
        <v>1171</v>
      </c>
      <c r="E13" s="144" t="s">
        <v>1155</v>
      </c>
    </row>
    <row r="14" customFormat="false" ht="25.35" hidden="false" customHeight="false" outlineLevel="0" collapsed="false">
      <c r="A14" s="156" t="n">
        <v>10</v>
      </c>
      <c r="B14" s="193" t="s">
        <v>1172</v>
      </c>
      <c r="C14" s="144" t="str">
        <f aca="false">TEXT(EDATE(Inputs!$B$5,2),"mmm yyyy")</f>
        <v>Dec 2026</v>
      </c>
      <c r="D14" s="194" t="s">
        <v>1173</v>
      </c>
      <c r="E14" s="144" t="s">
        <v>1155</v>
      </c>
    </row>
    <row r="15" customFormat="false" ht="25.35" hidden="false" customHeight="false" outlineLevel="0" collapsed="false">
      <c r="A15" s="156" t="n">
        <v>11</v>
      </c>
      <c r="B15" s="193" t="s">
        <v>1174</v>
      </c>
      <c r="C15" s="144" t="str">
        <f aca="false">TEXT(EDATE(Inputs!$B$5,2),"mmm yyyy")</f>
        <v>Dec 2026</v>
      </c>
      <c r="D15" s="194" t="s">
        <v>1175</v>
      </c>
      <c r="E15" s="144" t="s">
        <v>1155</v>
      </c>
    </row>
    <row r="16" customFormat="false" ht="15" hidden="false" customHeight="false" outlineLevel="0" collapsed="false">
      <c r="A16" s="156" t="n">
        <v>12</v>
      </c>
      <c r="B16" s="193" t="s">
        <v>1176</v>
      </c>
      <c r="C16" s="144" t="s">
        <v>271</v>
      </c>
      <c r="D16" s="194" t="s">
        <v>1177</v>
      </c>
      <c r="E16" s="144" t="s">
        <v>1155</v>
      </c>
    </row>
    <row r="17" customFormat="false" ht="25.35" hidden="false" customHeight="false" outlineLevel="0" collapsed="false">
      <c r="A17" s="156" t="n">
        <v>13</v>
      </c>
      <c r="B17" s="193" t="s">
        <v>1178</v>
      </c>
      <c r="C17" s="144" t="s">
        <v>271</v>
      </c>
      <c r="D17" s="194"/>
      <c r="E17" s="144" t="s">
        <v>1155</v>
      </c>
    </row>
    <row r="18" customFormat="false" ht="15" hidden="false" customHeight="false" outlineLevel="0" collapsed="false">
      <c r="A18" s="156" t="n">
        <v>14</v>
      </c>
      <c r="B18" s="193" t="s">
        <v>1179</v>
      </c>
      <c r="C18" s="144" t="s">
        <v>271</v>
      </c>
      <c r="D18" s="194" t="s">
        <v>1180</v>
      </c>
      <c r="E18" s="144" t="s">
        <v>1155</v>
      </c>
    </row>
    <row r="19" customFormat="false" ht="15" hidden="false" customHeight="false" outlineLevel="0" collapsed="false">
      <c r="A19" s="156" t="n">
        <v>15</v>
      </c>
      <c r="B19" s="193" t="s">
        <v>1181</v>
      </c>
      <c r="C19" s="144" t="s">
        <v>271</v>
      </c>
      <c r="D19" s="194" t="s">
        <v>1182</v>
      </c>
      <c r="E19" s="144" t="s">
        <v>1155</v>
      </c>
    </row>
  </sheetData>
  <conditionalFormatting sqref="E5:E19">
    <cfRule type="cellIs" priority="2" operator="equal" aboveAverage="0" equalAverage="0" bottom="0" percent="0" rank="0" text="" dxfId="3">
      <formula>"Done"</formula>
    </cfRule>
    <cfRule type="cellIs" priority="3" operator="equal" aboveAverage="0" equalAverage="0" bottom="0" percent="0" rank="0" text="" dxfId="4">
      <formula>"In progress"</formula>
    </cfRule>
  </conditionalFormatting>
  <conditionalFormatting sqref="A5:D19">
    <cfRule type="expression" priority="4" aboveAverage="0" equalAverage="0" bottom="0" percent="0" rank="0" text="" dxfId="33">
      <formula>$E5="Done"</formula>
    </cfRule>
    <cfRule type="expression" priority="5" aboveAverage="0" equalAverage="0" bottom="0" percent="0" rank="0" text="" dxfId="34">
      <formula>AND($E5&lt;&gt;"Done",IFERROR(DATEVALUE("1 "&amp;$C5)&lt;DATE(YEAR(TODAY()),MONTH(TODAY()),1),0))</formula>
    </cfRule>
    <cfRule type="expression" priority="6" aboveAverage="0" equalAverage="0" bottom="0" percent="0" rank="0" text="" dxfId="17">
      <formula>AND($E5&lt;&gt;"Done",IFERROR(DATEVALUE("1 "&amp;$C5)=DATE(YEAR(TODAY()),MONTH(TODAY()),1),0))</formula>
    </cfRule>
  </conditionalFormatting>
  <conditionalFormatting sqref="A5:E19">
    <cfRule type="expression" priority="7" aboveAverage="0" equalAverage="0" bottom="0" percent="0" rank="0" text="" dxfId="5">
      <formula>MOD(ROW(),2)=0</formula>
    </cfRule>
  </conditionalFormatting>
  <dataValidations count="1">
    <dataValidation allowBlank="false" errorStyle="stop" operator="between" showDropDown="false" showErrorMessage="false" showInputMessage="false" sqref="E5:E19" type="list">
      <formula1>"Not started,In progress,Done"</formula1>
      <formula2>0</formula2>
    </dataValidation>
  </dataValidations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Action Plan&amp;R&amp;8 Page &amp;P of &amp;N · printed &amp;D</oddFooter>
  </headerFooter>
  <legacy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1183</v>
      </c>
    </row>
    <row r="4" customFormat="false" ht="36" hidden="false" customHeight="true" outlineLevel="0" collapsed="false">
      <c r="A4" s="195" t="n">
        <v>1</v>
      </c>
      <c r="B4" s="196" t="s">
        <v>1184</v>
      </c>
    </row>
    <row r="5" customFormat="false" ht="36" hidden="false" customHeight="true" outlineLevel="0" collapsed="false">
      <c r="A5" s="195" t="n">
        <v>2</v>
      </c>
      <c r="B5" s="196" t="s">
        <v>1185</v>
      </c>
    </row>
    <row r="6" customFormat="false" ht="36" hidden="false" customHeight="true" outlineLevel="0" collapsed="false">
      <c r="A6" s="195" t="n">
        <v>3</v>
      </c>
      <c r="B6" s="196" t="s">
        <v>1186</v>
      </c>
    </row>
    <row r="7" customFormat="false" ht="36" hidden="false" customHeight="true" outlineLevel="0" collapsed="false">
      <c r="A7" s="195" t="n">
        <v>4</v>
      </c>
      <c r="B7" s="196" t="s">
        <v>1187</v>
      </c>
    </row>
    <row r="8" customFormat="false" ht="36" hidden="false" customHeight="true" outlineLevel="0" collapsed="false">
      <c r="A8" s="195" t="n">
        <v>5</v>
      </c>
      <c r="B8" s="196" t="s">
        <v>1188</v>
      </c>
    </row>
    <row r="9" customFormat="false" ht="36" hidden="false" customHeight="true" outlineLevel="0" collapsed="false">
      <c r="A9" s="195" t="n">
        <v>6</v>
      </c>
      <c r="B9" s="196" t="s">
        <v>1189</v>
      </c>
    </row>
    <row r="10" customFormat="false" ht="36" hidden="false" customHeight="true" outlineLevel="0" collapsed="false">
      <c r="A10" s="195" t="n">
        <v>7</v>
      </c>
      <c r="B10" s="196" t="s">
        <v>1190</v>
      </c>
    </row>
    <row r="11" customFormat="false" ht="36" hidden="false" customHeight="true" outlineLevel="0" collapsed="false">
      <c r="A11" s="195" t="n">
        <v>8</v>
      </c>
      <c r="B11" s="196" t="s">
        <v>1191</v>
      </c>
    </row>
    <row r="12" customFormat="false" ht="36" hidden="false" customHeight="true" outlineLevel="0" collapsed="false">
      <c r="A12" s="195" t="n">
        <v>9</v>
      </c>
      <c r="B12" s="196" t="s">
        <v>1192</v>
      </c>
    </row>
    <row r="13" customFormat="false" ht="36" hidden="false" customHeight="true" outlineLevel="0" collapsed="false">
      <c r="A13" s="195" t="n">
        <v>10</v>
      </c>
      <c r="B13" s="196" t="s">
        <v>1193</v>
      </c>
    </row>
    <row r="14" customFormat="false" ht="36" hidden="false" customHeight="true" outlineLevel="0" collapsed="false">
      <c r="A14" s="195" t="n">
        <v>11</v>
      </c>
      <c r="B14" s="196" t="s">
        <v>1194</v>
      </c>
    </row>
    <row r="15" customFormat="false" ht="36" hidden="false" customHeight="true" outlineLevel="0" collapsed="false">
      <c r="A15" s="195" t="n">
        <v>12</v>
      </c>
      <c r="B15" s="196" t="s">
        <v>1195</v>
      </c>
    </row>
  </sheetData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Getting Started&amp;R&amp;8 Page &amp;P of &amp;N · printed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/>
    </row>
    <row r="3" customFormat="false" ht="30" hidden="false" customHeight="true" outlineLevel="0" collapsed="false">
      <c r="B3" s="196" t="s">
        <v>1196</v>
      </c>
    </row>
    <row r="4" customFormat="false" ht="30" hidden="false" customHeight="true" outlineLevel="0" collapsed="false">
      <c r="B4" s="196" t="s">
        <v>1197</v>
      </c>
    </row>
    <row r="5" customFormat="false" ht="30" hidden="false" customHeight="true" outlineLevel="0" collapsed="false">
      <c r="B5" s="196" t="s">
        <v>1198</v>
      </c>
    </row>
    <row r="6" customFormat="false" ht="30" hidden="false" customHeight="true" outlineLevel="0" collapsed="false">
      <c r="B6" s="196" t="s">
        <v>1199</v>
      </c>
    </row>
    <row r="7" customFormat="false" ht="30" hidden="false" customHeight="true" outlineLevel="0" collapsed="false">
      <c r="B7" s="196" t="s">
        <v>1200</v>
      </c>
    </row>
    <row r="8" customFormat="false" ht="30" hidden="false" customHeight="true" outlineLevel="0" collapsed="false">
      <c r="B8" s="196" t="s">
        <v>1201</v>
      </c>
    </row>
    <row r="9" customFormat="false" ht="30" hidden="false" customHeight="true" outlineLevel="0" collapsed="false">
      <c r="B9" s="196" t="s">
        <v>1202</v>
      </c>
    </row>
    <row r="10" customFormat="false" ht="30" hidden="false" customHeight="true" outlineLevel="0" collapsed="false">
      <c r="B10" s="196" t="s">
        <v>1203</v>
      </c>
    </row>
    <row r="11" customFormat="false" ht="30" hidden="false" customHeight="true" outlineLevel="0" collapsed="false">
      <c r="B11" s="196" t="s">
        <v>1204</v>
      </c>
    </row>
    <row r="12" customFormat="false" ht="30" hidden="false" customHeight="true" outlineLevel="0" collapsed="false">
      <c r="B12" s="196" t="s">
        <v>1205</v>
      </c>
    </row>
    <row r="13" customFormat="false" ht="30" hidden="false" customHeight="true" outlineLevel="0" collapsed="false">
      <c r="B13" s="196" t="s">
        <v>1206</v>
      </c>
    </row>
    <row r="14" customFormat="false" ht="30" hidden="false" customHeight="true" outlineLevel="0" collapsed="false">
      <c r="B14" s="196" t="s">
        <v>1207</v>
      </c>
    </row>
    <row r="15" customFormat="false" ht="30" hidden="false" customHeight="true" outlineLevel="0" collapsed="false">
      <c r="B15" s="196" t="s">
        <v>1208</v>
      </c>
    </row>
    <row r="16" customFormat="false" ht="30" hidden="false" customHeight="true" outlineLevel="0" collapsed="false">
      <c r="B16" s="196" t="s">
        <v>1209</v>
      </c>
    </row>
    <row r="17" customFormat="false" ht="30" hidden="false" customHeight="true" outlineLevel="0" collapsed="false">
      <c r="B17" s="196" t="s">
        <v>1210</v>
      </c>
    </row>
    <row r="18" customFormat="false" ht="30" hidden="false" customHeight="true" outlineLevel="0" collapsed="false">
      <c r="B18" s="196" t="s">
        <v>1211</v>
      </c>
    </row>
    <row r="19" customFormat="false" ht="30" hidden="false" customHeight="true" outlineLevel="0" collapsed="false">
      <c r="B19" s="196" t="s">
        <v>1212</v>
      </c>
    </row>
    <row r="20" customFormat="false" ht="30" hidden="false" customHeight="true" outlineLevel="0" collapsed="false">
      <c r="B20" s="196" t="s">
        <v>1213</v>
      </c>
    </row>
    <row r="21" customFormat="false" ht="30" hidden="false" customHeight="true" outlineLevel="0" collapsed="false">
      <c r="B21" s="196" t="s">
        <v>1214</v>
      </c>
    </row>
  </sheetData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10" min="8" style="0" width="13"/>
    <col collapsed="false" customWidth="true" hidden="false" outlineLevel="0" max="11" min="11" style="0" width="15"/>
    <col collapsed="false" customWidth="true" hidden="false" outlineLevel="0" max="12" min="12" style="0" width="4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1215</v>
      </c>
    </row>
    <row r="3" customFormat="false" ht="15" hidden="false" customHeight="false" outlineLevel="0" collapsed="false">
      <c r="A3" s="21" t="s">
        <v>1216</v>
      </c>
    </row>
    <row r="4" customFormat="false" ht="19.5" hidden="false" customHeight="true" outlineLevel="0" collapsed="false">
      <c r="A4" s="107" t="s">
        <v>1217</v>
      </c>
      <c r="B4" s="107" t="s">
        <v>731</v>
      </c>
      <c r="C4" s="107" t="s">
        <v>1218</v>
      </c>
      <c r="D4" s="107" t="s">
        <v>34</v>
      </c>
      <c r="E4" s="107" t="s">
        <v>1219</v>
      </c>
      <c r="F4" s="107" t="s">
        <v>1220</v>
      </c>
      <c r="G4" s="107" t="s">
        <v>108</v>
      </c>
      <c r="H4" s="107" t="s">
        <v>1221</v>
      </c>
      <c r="I4" s="107" t="s">
        <v>1222</v>
      </c>
      <c r="J4" s="107" t="s">
        <v>1223</v>
      </c>
      <c r="K4" s="107" t="s">
        <v>1224</v>
      </c>
      <c r="L4" s="107" t="s">
        <v>163</v>
      </c>
    </row>
    <row r="5" customFormat="false" ht="15" hidden="false" customHeight="false" outlineLevel="0" collapsed="false">
      <c r="A5" s="110"/>
      <c r="B5" s="158"/>
      <c r="C5" s="142"/>
      <c r="D5" s="142"/>
      <c r="E5" s="142"/>
      <c r="F5" s="142"/>
      <c r="G5" s="142"/>
      <c r="H5" s="142"/>
      <c r="I5" s="142"/>
      <c r="J5" s="142"/>
      <c r="K5" s="142"/>
      <c r="L5" s="108"/>
    </row>
    <row r="6" customFormat="false" ht="15" hidden="false" customHeight="false" outlineLevel="0" collapsed="false">
      <c r="A6" s="110"/>
      <c r="B6" s="158"/>
      <c r="C6" s="142"/>
      <c r="D6" s="142"/>
      <c r="E6" s="142"/>
      <c r="F6" s="142"/>
      <c r="G6" s="142"/>
      <c r="H6" s="142"/>
      <c r="I6" s="142"/>
      <c r="J6" s="142"/>
      <c r="K6" s="142"/>
      <c r="L6" s="108"/>
    </row>
    <row r="7" customFormat="false" ht="15" hidden="false" customHeight="false" outlineLevel="0" collapsed="false">
      <c r="A7" s="110"/>
      <c r="B7" s="158"/>
      <c r="C7" s="142"/>
      <c r="D7" s="142"/>
      <c r="E7" s="142"/>
      <c r="F7" s="142"/>
      <c r="G7" s="142"/>
      <c r="H7" s="142"/>
      <c r="I7" s="142"/>
      <c r="J7" s="142"/>
      <c r="K7" s="142"/>
      <c r="L7" s="108"/>
    </row>
    <row r="8" customFormat="false" ht="15" hidden="false" customHeight="false" outlineLevel="0" collapsed="false">
      <c r="A8" s="110"/>
      <c r="B8" s="158"/>
      <c r="C8" s="142"/>
      <c r="D8" s="142"/>
      <c r="E8" s="142"/>
      <c r="F8" s="142"/>
      <c r="G8" s="142"/>
      <c r="H8" s="142"/>
      <c r="I8" s="142"/>
      <c r="J8" s="142"/>
      <c r="K8" s="142"/>
      <c r="L8" s="108"/>
    </row>
    <row r="9" customFormat="false" ht="15" hidden="false" customHeight="false" outlineLevel="0" collapsed="false">
      <c r="A9" s="110"/>
      <c r="B9" s="158"/>
      <c r="C9" s="142"/>
      <c r="D9" s="142"/>
      <c r="E9" s="142"/>
      <c r="F9" s="142"/>
      <c r="G9" s="142"/>
      <c r="H9" s="142"/>
      <c r="I9" s="142"/>
      <c r="J9" s="142"/>
      <c r="K9" s="142"/>
      <c r="L9" s="108"/>
    </row>
    <row r="10" customFormat="false" ht="15" hidden="false" customHeight="false" outlineLevel="0" collapsed="false">
      <c r="A10" s="110"/>
      <c r="B10" s="158"/>
      <c r="C10" s="142"/>
      <c r="D10" s="142"/>
      <c r="E10" s="142"/>
      <c r="F10" s="142"/>
      <c r="G10" s="142"/>
      <c r="H10" s="142"/>
      <c r="I10" s="142"/>
      <c r="J10" s="142"/>
      <c r="K10" s="142"/>
      <c r="L10" s="108"/>
    </row>
    <row r="11" customFormat="false" ht="15" hidden="false" customHeight="false" outlineLevel="0" collapsed="false">
      <c r="A11" s="110"/>
      <c r="B11" s="158"/>
      <c r="C11" s="142"/>
      <c r="D11" s="142"/>
      <c r="E11" s="142"/>
      <c r="F11" s="142"/>
      <c r="G11" s="142"/>
      <c r="H11" s="142"/>
      <c r="I11" s="142"/>
      <c r="J11" s="142"/>
      <c r="K11" s="142"/>
      <c r="L11" s="108"/>
    </row>
    <row r="12" customFormat="false" ht="15" hidden="false" customHeight="false" outlineLevel="0" collapsed="false">
      <c r="A12" s="110"/>
      <c r="B12" s="158"/>
      <c r="C12" s="142"/>
      <c r="D12" s="142"/>
      <c r="E12" s="142"/>
      <c r="F12" s="142"/>
      <c r="G12" s="142"/>
      <c r="H12" s="142"/>
      <c r="I12" s="142"/>
      <c r="J12" s="142"/>
      <c r="K12" s="142"/>
      <c r="L12" s="108"/>
    </row>
    <row r="13" customFormat="false" ht="15" hidden="false" customHeight="false" outlineLevel="0" collapsed="false">
      <c r="A13" s="110"/>
      <c r="B13" s="158"/>
      <c r="C13" s="142"/>
      <c r="D13" s="142"/>
      <c r="E13" s="142"/>
      <c r="F13" s="142"/>
      <c r="G13" s="142"/>
      <c r="H13" s="142"/>
      <c r="I13" s="142"/>
      <c r="J13" s="142"/>
      <c r="K13" s="142"/>
      <c r="L13" s="108"/>
    </row>
    <row r="14" customFormat="false" ht="15" hidden="false" customHeight="false" outlineLevel="0" collapsed="false">
      <c r="A14" s="110"/>
      <c r="B14" s="158"/>
      <c r="C14" s="142"/>
      <c r="D14" s="142"/>
      <c r="E14" s="142"/>
      <c r="F14" s="142"/>
      <c r="G14" s="142"/>
      <c r="H14" s="142"/>
      <c r="I14" s="142"/>
      <c r="J14" s="142"/>
      <c r="K14" s="142"/>
      <c r="L14" s="108"/>
    </row>
    <row r="15" customFormat="false" ht="15" hidden="false" customHeight="false" outlineLevel="0" collapsed="false">
      <c r="A15" s="110"/>
      <c r="B15" s="158"/>
      <c r="C15" s="142"/>
      <c r="D15" s="142"/>
      <c r="E15" s="142"/>
      <c r="F15" s="142"/>
      <c r="G15" s="142"/>
      <c r="H15" s="142"/>
      <c r="I15" s="142"/>
      <c r="J15" s="142"/>
      <c r="K15" s="142"/>
      <c r="L15" s="108"/>
    </row>
    <row r="16" customFormat="false" ht="15" hidden="false" customHeight="false" outlineLevel="0" collapsed="false">
      <c r="A16" s="110"/>
      <c r="B16" s="158"/>
      <c r="C16" s="142"/>
      <c r="D16" s="142"/>
      <c r="E16" s="142"/>
      <c r="F16" s="142"/>
      <c r="G16" s="142"/>
      <c r="H16" s="142"/>
      <c r="I16" s="142"/>
      <c r="J16" s="142"/>
      <c r="K16" s="142"/>
      <c r="L16" s="108"/>
    </row>
    <row r="17" customFormat="false" ht="15" hidden="false" customHeight="false" outlineLevel="0" collapsed="false">
      <c r="A17" s="110"/>
      <c r="B17" s="158"/>
      <c r="C17" s="142"/>
      <c r="D17" s="142"/>
      <c r="E17" s="142"/>
      <c r="F17" s="142"/>
      <c r="G17" s="142"/>
      <c r="H17" s="142"/>
      <c r="I17" s="142"/>
      <c r="J17" s="142"/>
      <c r="K17" s="142"/>
      <c r="L17" s="108"/>
    </row>
    <row r="18" customFormat="false" ht="15" hidden="false" customHeight="false" outlineLevel="0" collapsed="false">
      <c r="A18" s="110"/>
      <c r="B18" s="158"/>
      <c r="C18" s="142"/>
      <c r="D18" s="142"/>
      <c r="E18" s="142"/>
      <c r="F18" s="142"/>
      <c r="G18" s="142"/>
      <c r="H18" s="142"/>
      <c r="I18" s="142"/>
      <c r="J18" s="142"/>
      <c r="K18" s="142"/>
      <c r="L18" s="108"/>
    </row>
    <row r="19" customFormat="false" ht="15" hidden="false" customHeight="false" outlineLevel="0" collapsed="false">
      <c r="A19" s="110"/>
      <c r="B19" s="158"/>
      <c r="C19" s="142"/>
      <c r="D19" s="142"/>
      <c r="E19" s="142"/>
      <c r="F19" s="142"/>
      <c r="G19" s="142"/>
      <c r="H19" s="142"/>
      <c r="I19" s="142"/>
      <c r="J19" s="142"/>
      <c r="K19" s="142"/>
      <c r="L19" s="108"/>
    </row>
    <row r="20" customFormat="false" ht="15" hidden="false" customHeight="false" outlineLevel="0" collapsed="false">
      <c r="A20" s="110"/>
      <c r="B20" s="158"/>
      <c r="C20" s="142"/>
      <c r="D20" s="142"/>
      <c r="E20" s="142"/>
      <c r="F20" s="142"/>
      <c r="G20" s="142"/>
      <c r="H20" s="142"/>
      <c r="I20" s="142"/>
      <c r="J20" s="142"/>
      <c r="K20" s="142"/>
      <c r="L20" s="108"/>
    </row>
    <row r="21" customFormat="false" ht="15" hidden="false" customHeight="false" outlineLevel="0" collapsed="false">
      <c r="A21" s="110"/>
      <c r="B21" s="158"/>
      <c r="C21" s="142"/>
      <c r="D21" s="142"/>
      <c r="E21" s="142"/>
      <c r="F21" s="142"/>
      <c r="G21" s="142"/>
      <c r="H21" s="142"/>
      <c r="I21" s="142"/>
      <c r="J21" s="142"/>
      <c r="K21" s="142"/>
      <c r="L21" s="108"/>
    </row>
    <row r="22" customFormat="false" ht="15" hidden="false" customHeight="false" outlineLevel="0" collapsed="false">
      <c r="A22" s="110"/>
      <c r="B22" s="158"/>
      <c r="C22" s="142"/>
      <c r="D22" s="142"/>
      <c r="E22" s="142"/>
      <c r="F22" s="142"/>
      <c r="G22" s="142"/>
      <c r="H22" s="142"/>
      <c r="I22" s="142"/>
      <c r="J22" s="142"/>
      <c r="K22" s="142"/>
      <c r="L22" s="108"/>
    </row>
    <row r="23" customFormat="false" ht="15" hidden="false" customHeight="false" outlineLevel="0" collapsed="false">
      <c r="A23" s="110"/>
      <c r="B23" s="158"/>
      <c r="C23" s="142"/>
      <c r="D23" s="142"/>
      <c r="E23" s="142"/>
      <c r="F23" s="142"/>
      <c r="G23" s="142"/>
      <c r="H23" s="142"/>
      <c r="I23" s="142"/>
      <c r="J23" s="142"/>
      <c r="K23" s="142"/>
      <c r="L23" s="108"/>
    </row>
    <row r="24" customFormat="false" ht="15" hidden="false" customHeight="false" outlineLevel="0" collapsed="false">
      <c r="A24" s="110"/>
      <c r="B24" s="158"/>
      <c r="C24" s="142"/>
      <c r="D24" s="142"/>
      <c r="E24" s="142"/>
      <c r="F24" s="142"/>
      <c r="G24" s="142"/>
      <c r="H24" s="142"/>
      <c r="I24" s="142"/>
      <c r="J24" s="142"/>
      <c r="K24" s="142"/>
      <c r="L24" s="108"/>
    </row>
    <row r="25" customFormat="false" ht="15" hidden="false" customHeight="false" outlineLevel="0" collapsed="false">
      <c r="A25" s="110"/>
      <c r="B25" s="158"/>
      <c r="C25" s="142"/>
      <c r="D25" s="142"/>
      <c r="E25" s="142"/>
      <c r="F25" s="142"/>
      <c r="G25" s="142"/>
      <c r="H25" s="142"/>
      <c r="I25" s="142"/>
      <c r="J25" s="142"/>
      <c r="K25" s="142"/>
      <c r="L25" s="108"/>
    </row>
    <row r="26" customFormat="false" ht="15" hidden="false" customHeight="false" outlineLevel="0" collapsed="false">
      <c r="A26" s="110"/>
      <c r="B26" s="158"/>
      <c r="C26" s="142"/>
      <c r="D26" s="142"/>
      <c r="E26" s="142"/>
      <c r="F26" s="142"/>
      <c r="G26" s="142"/>
      <c r="H26" s="142"/>
      <c r="I26" s="142"/>
      <c r="J26" s="142"/>
      <c r="K26" s="142"/>
      <c r="L26" s="108"/>
    </row>
    <row r="27" customFormat="false" ht="15" hidden="false" customHeight="false" outlineLevel="0" collapsed="false">
      <c r="A27" s="110"/>
      <c r="B27" s="158"/>
      <c r="C27" s="142"/>
      <c r="D27" s="142"/>
      <c r="E27" s="142"/>
      <c r="F27" s="142"/>
      <c r="G27" s="142"/>
      <c r="H27" s="142"/>
      <c r="I27" s="142"/>
      <c r="J27" s="142"/>
      <c r="K27" s="142"/>
      <c r="L27" s="108"/>
    </row>
    <row r="28" customFormat="false" ht="15" hidden="false" customHeight="false" outlineLevel="0" collapsed="false">
      <c r="A28" s="110"/>
      <c r="B28" s="158"/>
      <c r="C28" s="142"/>
      <c r="D28" s="142"/>
      <c r="E28" s="142"/>
      <c r="F28" s="142"/>
      <c r="G28" s="142"/>
      <c r="H28" s="142"/>
      <c r="I28" s="142"/>
      <c r="J28" s="142"/>
      <c r="K28" s="142"/>
      <c r="L28" s="108"/>
    </row>
    <row r="29" customFormat="false" ht="15" hidden="false" customHeight="false" outlineLevel="0" collapsed="false">
      <c r="A29" s="110"/>
      <c r="B29" s="158"/>
      <c r="C29" s="142"/>
      <c r="D29" s="142"/>
      <c r="E29" s="142"/>
      <c r="F29" s="142"/>
      <c r="G29" s="142"/>
      <c r="H29" s="142"/>
      <c r="I29" s="142"/>
      <c r="J29" s="142"/>
      <c r="K29" s="142"/>
      <c r="L29" s="108"/>
    </row>
    <row r="30" customFormat="false" ht="15" hidden="false" customHeight="false" outlineLevel="0" collapsed="false">
      <c r="A30" s="110"/>
      <c r="B30" s="158"/>
      <c r="C30" s="142"/>
      <c r="D30" s="142"/>
      <c r="E30" s="142"/>
      <c r="F30" s="142"/>
      <c r="G30" s="142"/>
      <c r="H30" s="142"/>
      <c r="I30" s="142"/>
      <c r="J30" s="142"/>
      <c r="K30" s="142"/>
      <c r="L30" s="108"/>
    </row>
    <row r="31" customFormat="false" ht="15" hidden="false" customHeight="false" outlineLevel="0" collapsed="false">
      <c r="A31" s="110"/>
      <c r="B31" s="158"/>
      <c r="C31" s="142"/>
      <c r="D31" s="142"/>
      <c r="E31" s="142"/>
      <c r="F31" s="142"/>
      <c r="G31" s="142"/>
      <c r="H31" s="142"/>
      <c r="I31" s="142"/>
      <c r="J31" s="142"/>
      <c r="K31" s="142"/>
      <c r="L31" s="108"/>
    </row>
    <row r="32" customFormat="false" ht="15" hidden="false" customHeight="false" outlineLevel="0" collapsed="false">
      <c r="A32" s="110"/>
      <c r="B32" s="158"/>
      <c r="C32" s="142"/>
      <c r="D32" s="142"/>
      <c r="E32" s="142"/>
      <c r="F32" s="142"/>
      <c r="G32" s="142"/>
      <c r="H32" s="142"/>
      <c r="I32" s="142"/>
      <c r="J32" s="142"/>
      <c r="K32" s="142"/>
      <c r="L32" s="108"/>
    </row>
    <row r="33" customFormat="false" ht="15" hidden="false" customHeight="false" outlineLevel="0" collapsed="false">
      <c r="A33" s="110"/>
      <c r="B33" s="158"/>
      <c r="C33" s="142"/>
      <c r="D33" s="142"/>
      <c r="E33" s="142"/>
      <c r="F33" s="142"/>
      <c r="G33" s="142"/>
      <c r="H33" s="142"/>
      <c r="I33" s="142"/>
      <c r="J33" s="142"/>
      <c r="K33" s="142"/>
      <c r="L33" s="108"/>
    </row>
    <row r="34" customFormat="false" ht="15" hidden="false" customHeight="false" outlineLevel="0" collapsed="false">
      <c r="A34" s="110"/>
      <c r="B34" s="158"/>
      <c r="C34" s="142"/>
      <c r="D34" s="142"/>
      <c r="E34" s="142"/>
      <c r="F34" s="142"/>
      <c r="G34" s="142"/>
      <c r="H34" s="142"/>
      <c r="I34" s="142"/>
      <c r="J34" s="142"/>
      <c r="K34" s="142"/>
      <c r="L34" s="108"/>
    </row>
    <row r="35" customFormat="false" ht="15" hidden="false" customHeight="false" outlineLevel="0" collapsed="false">
      <c r="A35" s="110"/>
      <c r="B35" s="158"/>
      <c r="C35" s="142"/>
      <c r="D35" s="142"/>
      <c r="E35" s="142"/>
      <c r="F35" s="142"/>
      <c r="G35" s="142"/>
      <c r="H35" s="142"/>
      <c r="I35" s="142"/>
      <c r="J35" s="142"/>
      <c r="K35" s="142"/>
      <c r="L35" s="108"/>
    </row>
    <row r="36" customFormat="false" ht="15" hidden="false" customHeight="false" outlineLevel="0" collapsed="false">
      <c r="A36" s="110"/>
      <c r="B36" s="158"/>
      <c r="C36" s="142"/>
      <c r="D36" s="142"/>
      <c r="E36" s="142"/>
      <c r="F36" s="142"/>
      <c r="G36" s="142"/>
      <c r="H36" s="142"/>
      <c r="I36" s="142"/>
      <c r="J36" s="142"/>
      <c r="K36" s="142"/>
      <c r="L36" s="108"/>
    </row>
    <row r="37" customFormat="false" ht="15" hidden="false" customHeight="false" outlineLevel="0" collapsed="false">
      <c r="A37" s="110"/>
      <c r="B37" s="158"/>
      <c r="C37" s="142"/>
      <c r="D37" s="142"/>
      <c r="E37" s="142"/>
      <c r="F37" s="142"/>
      <c r="G37" s="142"/>
      <c r="H37" s="142"/>
      <c r="I37" s="142"/>
      <c r="J37" s="142"/>
      <c r="K37" s="142"/>
      <c r="L37" s="108"/>
    </row>
    <row r="38" customFormat="false" ht="15" hidden="false" customHeight="false" outlineLevel="0" collapsed="false">
      <c r="A38" s="110"/>
      <c r="B38" s="158"/>
      <c r="C38" s="142"/>
      <c r="D38" s="142"/>
      <c r="E38" s="142"/>
      <c r="F38" s="142"/>
      <c r="G38" s="142"/>
      <c r="H38" s="142"/>
      <c r="I38" s="142"/>
      <c r="J38" s="142"/>
      <c r="K38" s="142"/>
      <c r="L38" s="108"/>
    </row>
    <row r="39" customFormat="false" ht="15" hidden="false" customHeight="false" outlineLevel="0" collapsed="false">
      <c r="A39" s="110"/>
      <c r="B39" s="158"/>
      <c r="C39" s="142"/>
      <c r="D39" s="142"/>
      <c r="E39" s="142"/>
      <c r="F39" s="142"/>
      <c r="G39" s="142"/>
      <c r="H39" s="142"/>
      <c r="I39" s="142"/>
      <c r="J39" s="142"/>
      <c r="K39" s="142"/>
      <c r="L39" s="108"/>
    </row>
    <row r="40" customFormat="false" ht="15" hidden="false" customHeight="false" outlineLevel="0" collapsed="false">
      <c r="A40" s="110"/>
      <c r="B40" s="158"/>
      <c r="C40" s="142"/>
      <c r="D40" s="142"/>
      <c r="E40" s="142"/>
      <c r="F40" s="142"/>
      <c r="G40" s="142"/>
      <c r="H40" s="142"/>
      <c r="I40" s="142"/>
      <c r="J40" s="142"/>
      <c r="K40" s="142"/>
      <c r="L40" s="108"/>
    </row>
    <row r="41" customFormat="false" ht="15" hidden="false" customHeight="false" outlineLevel="0" collapsed="false">
      <c r="A41" s="110"/>
      <c r="B41" s="158"/>
      <c r="C41" s="142"/>
      <c r="D41" s="142"/>
      <c r="E41" s="142"/>
      <c r="F41" s="142"/>
      <c r="G41" s="142"/>
      <c r="H41" s="142"/>
      <c r="I41" s="142"/>
      <c r="J41" s="142"/>
      <c r="K41" s="142"/>
      <c r="L41" s="108"/>
    </row>
    <row r="42" customFormat="false" ht="15" hidden="false" customHeight="false" outlineLevel="0" collapsed="false">
      <c r="A42" s="110"/>
      <c r="B42" s="158"/>
      <c r="C42" s="142"/>
      <c r="D42" s="142"/>
      <c r="E42" s="142"/>
      <c r="F42" s="142"/>
      <c r="G42" s="142"/>
      <c r="H42" s="142"/>
      <c r="I42" s="142"/>
      <c r="J42" s="142"/>
      <c r="K42" s="142"/>
      <c r="L42" s="108"/>
    </row>
    <row r="43" customFormat="false" ht="15" hidden="false" customHeight="false" outlineLevel="0" collapsed="false">
      <c r="A43" s="110"/>
      <c r="B43" s="158"/>
      <c r="C43" s="142"/>
      <c r="D43" s="142"/>
      <c r="E43" s="142"/>
      <c r="F43" s="142"/>
      <c r="G43" s="142"/>
      <c r="H43" s="142"/>
      <c r="I43" s="142"/>
      <c r="J43" s="142"/>
      <c r="K43" s="142"/>
      <c r="L43" s="108"/>
    </row>
    <row r="44" customFormat="false" ht="15" hidden="false" customHeight="false" outlineLevel="0" collapsed="false">
      <c r="A44" s="110"/>
      <c r="B44" s="158"/>
      <c r="C44" s="142"/>
      <c r="D44" s="142"/>
      <c r="E44" s="142"/>
      <c r="F44" s="142"/>
      <c r="G44" s="142"/>
      <c r="H44" s="142"/>
      <c r="I44" s="142"/>
      <c r="J44" s="142"/>
      <c r="K44" s="142"/>
      <c r="L44" s="108"/>
    </row>
  </sheetData>
  <sheetProtection sheet="true" scenarios="true" formatCells="false" formatColumns="false" formatRows="false" sort="false" autoFilter="false"/>
  <conditionalFormatting sqref="A5:L44">
    <cfRule type="expression" priority="2" aboveAverage="0" equalAverage="0" bottom="0" percent="0" rank="0" text="" dxfId="5">
      <formula>MOD(ROW(),2)=0</formula>
    </cfRule>
  </conditionalFormatting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Snapshots&amp;R&amp;8 Page &amp;P of &amp;N · printed 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6" min="5" style="0" width="14"/>
    <col collapsed="false" customWidth="true" hidden="false" outlineLevel="0" max="7" min="7" style="0" width="44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1225</v>
      </c>
    </row>
    <row r="3" customFormat="false" ht="15" hidden="false" customHeight="false" outlineLevel="0" collapsed="false">
      <c r="A3" s="21" t="s">
        <v>1226</v>
      </c>
    </row>
    <row r="4" customFormat="false" ht="19.5" hidden="false" customHeight="true" outlineLevel="0" collapsed="false">
      <c r="A4" s="107" t="s">
        <v>1227</v>
      </c>
      <c r="B4" s="107" t="s">
        <v>1228</v>
      </c>
      <c r="C4" s="107" t="s">
        <v>1229</v>
      </c>
      <c r="D4" s="107" t="s">
        <v>1230</v>
      </c>
      <c r="E4" s="107" t="s">
        <v>1231</v>
      </c>
      <c r="F4" s="107" t="s">
        <v>1232</v>
      </c>
      <c r="G4" s="107" t="s">
        <v>163</v>
      </c>
    </row>
    <row r="5" customFormat="false" ht="15" hidden="false" customHeight="false" outlineLevel="0" collapsed="false">
      <c r="A5" s="108" t="s">
        <v>250</v>
      </c>
      <c r="B5" s="108" t="s">
        <v>1233</v>
      </c>
      <c r="C5" s="108" t="s">
        <v>47</v>
      </c>
      <c r="D5" s="108" t="s">
        <v>48</v>
      </c>
      <c r="E5" s="108" t="n">
        <v>-1</v>
      </c>
      <c r="F5" s="108" t="n">
        <v>1</v>
      </c>
      <c r="G5" s="145" t="s">
        <v>1234</v>
      </c>
    </row>
    <row r="6" customFormat="false" ht="15" hidden="false" customHeight="false" outlineLevel="0" collapsed="false">
      <c r="A6" s="108" t="s">
        <v>255</v>
      </c>
      <c r="B6" s="108" t="s">
        <v>45</v>
      </c>
      <c r="C6" s="108" t="s">
        <v>47</v>
      </c>
      <c r="D6" s="108" t="s">
        <v>48</v>
      </c>
      <c r="E6" s="108" t="n">
        <v>-1</v>
      </c>
      <c r="F6" s="108" t="n">
        <v>1</v>
      </c>
      <c r="G6" s="145" t="s">
        <v>1235</v>
      </c>
    </row>
    <row r="7" customFormat="false" ht="15" hidden="false" customHeight="false" outlineLevel="0" collapsed="false">
      <c r="A7" s="108" t="s">
        <v>267</v>
      </c>
      <c r="B7" s="108" t="s">
        <v>1233</v>
      </c>
      <c r="C7" s="108" t="s">
        <v>47</v>
      </c>
      <c r="D7" s="108" t="s">
        <v>1236</v>
      </c>
      <c r="E7" s="108" t="n">
        <v>1</v>
      </c>
      <c r="F7" s="108" t="n">
        <v>1</v>
      </c>
      <c r="G7" s="145" t="s">
        <v>1237</v>
      </c>
    </row>
    <row r="8" customFormat="false" ht="15" hidden="false" customHeight="false" outlineLevel="0" collapsed="false">
      <c r="A8" s="108" t="s">
        <v>258</v>
      </c>
      <c r="B8" s="108" t="s">
        <v>45</v>
      </c>
      <c r="C8" s="108" t="s">
        <v>47</v>
      </c>
      <c r="D8" s="108" t="s">
        <v>1236</v>
      </c>
      <c r="E8" s="108" t="n">
        <v>1</v>
      </c>
      <c r="F8" s="108" t="n">
        <v>1</v>
      </c>
      <c r="G8" s="145"/>
    </row>
    <row r="9" customFormat="false" ht="15" hidden="false" customHeight="false" outlineLevel="0" collapsed="false">
      <c r="A9" s="108" t="s">
        <v>277</v>
      </c>
      <c r="B9" s="108" t="s">
        <v>1238</v>
      </c>
      <c r="C9" s="108" t="s">
        <v>47</v>
      </c>
      <c r="D9" s="108" t="s">
        <v>48</v>
      </c>
      <c r="E9" s="108" t="n">
        <v>1</v>
      </c>
      <c r="F9" s="108" t="n">
        <v>1</v>
      </c>
      <c r="G9" s="145" t="s">
        <v>1239</v>
      </c>
    </row>
    <row r="10" customFormat="false" ht="15" hidden="false" customHeight="false" outlineLevel="0" collapsed="false">
      <c r="A10" s="108" t="s">
        <v>242</v>
      </c>
      <c r="B10" s="108" t="s">
        <v>45</v>
      </c>
      <c r="C10" s="108" t="s">
        <v>47</v>
      </c>
      <c r="D10" s="108" t="s">
        <v>48</v>
      </c>
      <c r="E10" s="108" t="n">
        <v>1</v>
      </c>
      <c r="F10" s="108" t="n">
        <v>1</v>
      </c>
      <c r="G10" s="145" t="s">
        <v>1239</v>
      </c>
    </row>
    <row r="11" customFormat="false" ht="15" hidden="false" customHeight="false" outlineLevel="0" collapsed="false">
      <c r="A11" s="108" t="s">
        <v>259</v>
      </c>
      <c r="B11" s="108" t="s">
        <v>45</v>
      </c>
      <c r="C11" s="108" t="s">
        <v>47</v>
      </c>
      <c r="D11" s="108" t="s">
        <v>1240</v>
      </c>
      <c r="E11" s="108" t="n">
        <v>1</v>
      </c>
      <c r="F11" s="108" t="n">
        <v>1</v>
      </c>
      <c r="G11" s="145" t="s">
        <v>1241</v>
      </c>
    </row>
    <row r="12" customFormat="false" ht="15" hidden="false" customHeight="false" outlineLevel="0" collapsed="false">
      <c r="A12" s="108" t="s">
        <v>1242</v>
      </c>
      <c r="B12" s="108" t="s">
        <v>45</v>
      </c>
      <c r="C12" s="108" t="s">
        <v>47</v>
      </c>
      <c r="D12" s="108" t="s">
        <v>48</v>
      </c>
      <c r="E12" s="108" t="n">
        <v>-1</v>
      </c>
      <c r="F12" s="108" t="n">
        <v>1</v>
      </c>
      <c r="G12" s="145" t="s">
        <v>1243</v>
      </c>
    </row>
    <row r="13" customFormat="false" ht="15" hidden="false" customHeight="false" outlineLevel="0" collapsed="false">
      <c r="A13" s="108"/>
      <c r="B13" s="108"/>
      <c r="C13" s="108"/>
      <c r="D13" s="108"/>
      <c r="E13" s="108"/>
      <c r="F13" s="108"/>
      <c r="G13" s="108"/>
    </row>
    <row r="14" customFormat="false" ht="15" hidden="false" customHeight="false" outlineLevel="0" collapsed="false">
      <c r="A14" s="108"/>
      <c r="B14" s="108"/>
      <c r="C14" s="108"/>
      <c r="D14" s="108"/>
      <c r="E14" s="108"/>
      <c r="F14" s="108"/>
      <c r="G14" s="108"/>
    </row>
    <row r="15" customFormat="false" ht="15" hidden="false" customHeight="false" outlineLevel="0" collapsed="false">
      <c r="A15" s="108"/>
      <c r="B15" s="108"/>
      <c r="C15" s="108"/>
      <c r="D15" s="108"/>
      <c r="E15" s="108"/>
      <c r="F15" s="108"/>
      <c r="G15" s="108"/>
    </row>
  </sheetData>
  <sheetProtection sheet="true" scenarios="true" formatCells="false" formatColumns="false" formatRows="false" sort="false" autoFilter="false"/>
  <conditionalFormatting sqref="A5:G15">
    <cfRule type="expression" priority="2" aboveAverage="0" equalAverage="0" bottom="0" percent="0" rank="0" text="" dxfId="5">
      <formula>MOD(ROW(),2)=0</formula>
    </cfRule>
  </conditionalFormatting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"/>
    <col collapsed="false" customWidth="true" hidden="false" outlineLevel="0" max="14" min="3" style="0" width="10"/>
    <col collapsed="false" customWidth="true" hidden="false" outlineLevel="0" max="16" min="15" style="0" width="12"/>
    <col collapsed="false" customWidth="true" hidden="false" outlineLevel="0" max="17" min="17" style="0" width="11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false" ht="24" hidden="false" customHeight="true" outlineLevel="0" collapsed="false">
      <c r="A2" s="98" t="s">
        <v>1244</v>
      </c>
      <c r="C2" s="139" t="s">
        <v>1245</v>
      </c>
      <c r="D2" s="139"/>
      <c r="E2" s="139"/>
      <c r="F2" s="139" t="s">
        <v>1246</v>
      </c>
      <c r="G2" s="139"/>
      <c r="H2" s="139"/>
      <c r="I2" s="139" t="s">
        <v>1247</v>
      </c>
      <c r="J2" s="139"/>
      <c r="K2" s="139"/>
      <c r="L2" s="139" t="s">
        <v>1248</v>
      </c>
      <c r="M2" s="139"/>
      <c r="N2" s="139"/>
    </row>
    <row r="3" customFormat="false" ht="24" hidden="false" customHeight="true" outlineLevel="0" collapsed="false">
      <c r="C3" s="140" t="n">
        <f aca="false">O36</f>
        <v>86.42</v>
      </c>
      <c r="D3" s="140"/>
      <c r="E3" s="140"/>
      <c r="F3" s="140" t="n">
        <f aca="false">P36</f>
        <v>0</v>
      </c>
      <c r="G3" s="140"/>
      <c r="H3" s="140"/>
      <c r="I3" s="197" t="n">
        <f aca="false">Q36</f>
        <v>86.42</v>
      </c>
      <c r="J3" s="197"/>
      <c r="K3" s="197"/>
      <c r="L3" s="182" t="n">
        <f aca="false">SUMPRODUCT(--(C36:N36&gt;0))</f>
        <v>1</v>
      </c>
      <c r="M3" s="182"/>
      <c r="N3" s="182"/>
    </row>
    <row r="4" customFormat="false" ht="19.5" hidden="false" customHeight="true" outlineLevel="0" collapsed="false">
      <c r="A4" s="107" t="s">
        <v>1103</v>
      </c>
      <c r="B4" s="107" t="s">
        <v>1221</v>
      </c>
      <c r="C4" s="198" t="n">
        <f aca="false">Forecast!C$3</f>
        <v>46296</v>
      </c>
      <c r="D4" s="198" t="n">
        <f aca="false">Forecast!D$3</f>
        <v>46327</v>
      </c>
      <c r="E4" s="198" t="n">
        <f aca="false">Forecast!E$3</f>
        <v>46357</v>
      </c>
      <c r="F4" s="198" t="n">
        <f aca="false">Forecast!F$3</f>
        <v>46388</v>
      </c>
      <c r="G4" s="198" t="n">
        <f aca="false">Forecast!G$3</f>
        <v>46419</v>
      </c>
      <c r="H4" s="198" t="n">
        <f aca="false">Forecast!H$3</f>
        <v>46447</v>
      </c>
      <c r="I4" s="198" t="n">
        <f aca="false">Forecast!I$3</f>
        <v>46478</v>
      </c>
      <c r="J4" s="198" t="n">
        <f aca="false">Forecast!J$3</f>
        <v>46508</v>
      </c>
      <c r="K4" s="198" t="n">
        <f aca="false">Forecast!K$3</f>
        <v>46539</v>
      </c>
      <c r="L4" s="198" t="n">
        <f aca="false">Forecast!L$3</f>
        <v>46569</v>
      </c>
      <c r="M4" s="198" t="n">
        <f aca="false">Forecast!M$3</f>
        <v>46600</v>
      </c>
      <c r="N4" s="198" t="n">
        <f aca="false">Forecast!N$3</f>
        <v>46631</v>
      </c>
      <c r="O4" s="107" t="s">
        <v>1249</v>
      </c>
      <c r="P4" s="107" t="s">
        <v>1250</v>
      </c>
      <c r="Q4" s="107" t="s">
        <v>1106</v>
      </c>
    </row>
    <row r="5" customFormat="false" ht="15" hidden="false" customHeight="false" outlineLevel="0" collapsed="false">
      <c r="A5" s="154" t="str">
        <f aca="false">'Monthly Actuals'!A5</f>
        <v>Rent / mortgage</v>
      </c>
      <c r="B5" s="114" t="n">
        <f aca="false">IF(A5="","",'Monthly Actuals'!B5)</f>
        <v>0</v>
      </c>
      <c r="C5" s="114" t="n">
        <f aca="false">IF($A5="","",'Monthly Actuals'!F5)</f>
        <v>0</v>
      </c>
      <c r="D5" s="114" t="n">
        <f aca="false">IF($A5="","",'Monthly Actuals'!G5)</f>
        <v>0</v>
      </c>
      <c r="E5" s="114" t="n">
        <f aca="false">IF($A5="","",'Monthly Actuals'!H5)</f>
        <v>0</v>
      </c>
      <c r="F5" s="114" t="n">
        <f aca="false">IF($A5="","",'Monthly Actuals'!I5)</f>
        <v>0</v>
      </c>
      <c r="G5" s="114" t="n">
        <f aca="false">IF($A5="","",'Monthly Actuals'!J5)</f>
        <v>0</v>
      </c>
      <c r="H5" s="114" t="n">
        <f aca="false">IF($A5="","",'Monthly Actuals'!K5)</f>
        <v>0</v>
      </c>
      <c r="I5" s="114" t="n">
        <f aca="false">IF($A5="","",'Monthly Actuals'!L5)</f>
        <v>0</v>
      </c>
      <c r="J5" s="114" t="n">
        <f aca="false">IF($A5="","",'Monthly Actuals'!M5)</f>
        <v>0</v>
      </c>
      <c r="K5" s="114" t="n">
        <f aca="false">IF($A5="","",'Monthly Actuals'!N5)</f>
        <v>0</v>
      </c>
      <c r="L5" s="114" t="n">
        <f aca="false">IF($A5="","",'Monthly Actuals'!O5)</f>
        <v>0</v>
      </c>
      <c r="M5" s="114" t="n">
        <f aca="false">IF($A5="","",'Monthly Actuals'!P5)</f>
        <v>0</v>
      </c>
      <c r="N5" s="114" t="n">
        <f aca="false">IF($A5="","",'Monthly Actuals'!Q5)</f>
        <v>0</v>
      </c>
      <c r="O5" s="147" t="n">
        <f aca="false">IF(A5="","",SUM(C5:N5))</f>
        <v>0</v>
      </c>
      <c r="P5" s="147" t="n">
        <f aca="false">IF(A5="","",B5*12)</f>
        <v>0</v>
      </c>
      <c r="Q5" s="199" t="n">
        <f aca="false">IF(A5="","",O5-P5)</f>
        <v>0</v>
      </c>
    </row>
    <row r="6" customFormat="false" ht="15" hidden="false" customHeight="false" outlineLevel="0" collapsed="false">
      <c r="A6" s="154" t="str">
        <f aca="false">'Monthly Actuals'!A6</f>
        <v>Home / renters insurance</v>
      </c>
      <c r="B6" s="114" t="n">
        <f aca="false">IF(A6="","",'Monthly Actuals'!B6)</f>
        <v>0</v>
      </c>
      <c r="C6" s="114" t="n">
        <f aca="false">IF($A6="","",'Monthly Actuals'!F6)</f>
        <v>0</v>
      </c>
      <c r="D6" s="114" t="n">
        <f aca="false">IF($A6="","",'Monthly Actuals'!G6)</f>
        <v>0</v>
      </c>
      <c r="E6" s="114" t="n">
        <f aca="false">IF($A6="","",'Monthly Actuals'!H6)</f>
        <v>0</v>
      </c>
      <c r="F6" s="114" t="n">
        <f aca="false">IF($A6="","",'Monthly Actuals'!I6)</f>
        <v>0</v>
      </c>
      <c r="G6" s="114" t="n">
        <f aca="false">IF($A6="","",'Monthly Actuals'!J6)</f>
        <v>0</v>
      </c>
      <c r="H6" s="114" t="n">
        <f aca="false">IF($A6="","",'Monthly Actuals'!K6)</f>
        <v>0</v>
      </c>
      <c r="I6" s="114" t="n">
        <f aca="false">IF($A6="","",'Monthly Actuals'!L6)</f>
        <v>0</v>
      </c>
      <c r="J6" s="114" t="n">
        <f aca="false">IF($A6="","",'Monthly Actuals'!M6)</f>
        <v>0</v>
      </c>
      <c r="K6" s="114" t="n">
        <f aca="false">IF($A6="","",'Monthly Actuals'!N6)</f>
        <v>0</v>
      </c>
      <c r="L6" s="114" t="n">
        <f aca="false">IF($A6="","",'Monthly Actuals'!O6)</f>
        <v>0</v>
      </c>
      <c r="M6" s="114" t="n">
        <f aca="false">IF($A6="","",'Monthly Actuals'!P6)</f>
        <v>0</v>
      </c>
      <c r="N6" s="114" t="n">
        <f aca="false">IF($A6="","",'Monthly Actuals'!Q6)</f>
        <v>0</v>
      </c>
      <c r="O6" s="147" t="n">
        <f aca="false">IF(A6="","",SUM(C6:N6))</f>
        <v>0</v>
      </c>
      <c r="P6" s="147" t="n">
        <f aca="false">IF(A6="","",B6*12)</f>
        <v>0</v>
      </c>
      <c r="Q6" s="199" t="n">
        <f aca="false">IF(A6="","",O6-P6)</f>
        <v>0</v>
      </c>
    </row>
    <row r="7" customFormat="false" ht="15" hidden="false" customHeight="false" outlineLevel="0" collapsed="false">
      <c r="A7" s="154" t="str">
        <f aca="false">'Monthly Actuals'!A7</f>
        <v>Property tax</v>
      </c>
      <c r="B7" s="114" t="n">
        <f aca="false">IF(A7="","",'Monthly Actuals'!B7)</f>
        <v>0</v>
      </c>
      <c r="C7" s="114" t="n">
        <f aca="false">IF($A7="","",'Monthly Actuals'!F7)</f>
        <v>0</v>
      </c>
      <c r="D7" s="114" t="n">
        <f aca="false">IF($A7="","",'Monthly Actuals'!G7)</f>
        <v>0</v>
      </c>
      <c r="E7" s="114" t="n">
        <f aca="false">IF($A7="","",'Monthly Actuals'!H7)</f>
        <v>0</v>
      </c>
      <c r="F7" s="114" t="n">
        <f aca="false">IF($A7="","",'Monthly Actuals'!I7)</f>
        <v>0</v>
      </c>
      <c r="G7" s="114" t="n">
        <f aca="false">IF($A7="","",'Monthly Actuals'!J7)</f>
        <v>0</v>
      </c>
      <c r="H7" s="114" t="n">
        <f aca="false">IF($A7="","",'Monthly Actuals'!K7)</f>
        <v>0</v>
      </c>
      <c r="I7" s="114" t="n">
        <f aca="false">IF($A7="","",'Monthly Actuals'!L7)</f>
        <v>0</v>
      </c>
      <c r="J7" s="114" t="n">
        <f aca="false">IF($A7="","",'Monthly Actuals'!M7)</f>
        <v>0</v>
      </c>
      <c r="K7" s="114" t="n">
        <f aca="false">IF($A7="","",'Monthly Actuals'!N7)</f>
        <v>0</v>
      </c>
      <c r="L7" s="114" t="n">
        <f aca="false">IF($A7="","",'Monthly Actuals'!O7)</f>
        <v>0</v>
      </c>
      <c r="M7" s="114" t="n">
        <f aca="false">IF($A7="","",'Monthly Actuals'!P7)</f>
        <v>0</v>
      </c>
      <c r="N7" s="114" t="n">
        <f aca="false">IF($A7="","",'Monthly Actuals'!Q7)</f>
        <v>0</v>
      </c>
      <c r="O7" s="147" t="n">
        <f aca="false">IF(A7="","",SUM(C7:N7))</f>
        <v>0</v>
      </c>
      <c r="P7" s="147" t="n">
        <f aca="false">IF(A7="","",B7*12)</f>
        <v>0</v>
      </c>
      <c r="Q7" s="199" t="n">
        <f aca="false">IF(A7="","",O7-P7)</f>
        <v>0</v>
      </c>
    </row>
    <row r="8" customFormat="false" ht="15" hidden="false" customHeight="false" outlineLevel="0" collapsed="false">
      <c r="A8" s="154" t="str">
        <f aca="false">'Monthly Actuals'!A8</f>
        <v>Electric</v>
      </c>
      <c r="B8" s="114" t="n">
        <f aca="false">IF(A8="","",'Monthly Actuals'!B8)</f>
        <v>0</v>
      </c>
      <c r="C8" s="114" t="n">
        <f aca="false">IF($A8="","",'Monthly Actuals'!F8)</f>
        <v>0</v>
      </c>
      <c r="D8" s="114" t="n">
        <f aca="false">IF($A8="","",'Monthly Actuals'!G8)</f>
        <v>0</v>
      </c>
      <c r="E8" s="114" t="n">
        <f aca="false">IF($A8="","",'Monthly Actuals'!H8)</f>
        <v>0</v>
      </c>
      <c r="F8" s="114" t="n">
        <f aca="false">IF($A8="","",'Monthly Actuals'!I8)</f>
        <v>0</v>
      </c>
      <c r="G8" s="114" t="n">
        <f aca="false">IF($A8="","",'Monthly Actuals'!J8)</f>
        <v>0</v>
      </c>
      <c r="H8" s="114" t="n">
        <f aca="false">IF($A8="","",'Monthly Actuals'!K8)</f>
        <v>0</v>
      </c>
      <c r="I8" s="114" t="n">
        <f aca="false">IF($A8="","",'Monthly Actuals'!L8)</f>
        <v>0</v>
      </c>
      <c r="J8" s="114" t="n">
        <f aca="false">IF($A8="","",'Monthly Actuals'!M8)</f>
        <v>0</v>
      </c>
      <c r="K8" s="114" t="n">
        <f aca="false">IF($A8="","",'Monthly Actuals'!N8)</f>
        <v>0</v>
      </c>
      <c r="L8" s="114" t="n">
        <f aca="false">IF($A8="","",'Monthly Actuals'!O8)</f>
        <v>0</v>
      </c>
      <c r="M8" s="114" t="n">
        <f aca="false">IF($A8="","",'Monthly Actuals'!P8)</f>
        <v>0</v>
      </c>
      <c r="N8" s="114" t="n">
        <f aca="false">IF($A8="","",'Monthly Actuals'!Q8)</f>
        <v>0</v>
      </c>
      <c r="O8" s="147" t="n">
        <f aca="false">IF(A8="","",SUM(C8:N8))</f>
        <v>0</v>
      </c>
      <c r="P8" s="147" t="n">
        <f aca="false">IF(A8="","",B8*12)</f>
        <v>0</v>
      </c>
      <c r="Q8" s="199" t="n">
        <f aca="false">IF(A8="","",O8-P8)</f>
        <v>0</v>
      </c>
    </row>
    <row r="9" customFormat="false" ht="15" hidden="false" customHeight="false" outlineLevel="0" collapsed="false">
      <c r="A9" s="154" t="str">
        <f aca="false">'Monthly Actuals'!A9</f>
        <v>Gas / heating oil</v>
      </c>
      <c r="B9" s="114" t="n">
        <f aca="false">IF(A9="","",'Monthly Actuals'!B9)</f>
        <v>0</v>
      </c>
      <c r="C9" s="114" t="n">
        <f aca="false">IF($A9="","",'Monthly Actuals'!F9)</f>
        <v>0</v>
      </c>
      <c r="D9" s="114" t="n">
        <f aca="false">IF($A9="","",'Monthly Actuals'!G9)</f>
        <v>0</v>
      </c>
      <c r="E9" s="114" t="n">
        <f aca="false">IF($A9="","",'Monthly Actuals'!H9)</f>
        <v>0</v>
      </c>
      <c r="F9" s="114" t="n">
        <f aca="false">IF($A9="","",'Monthly Actuals'!I9)</f>
        <v>0</v>
      </c>
      <c r="G9" s="114" t="n">
        <f aca="false">IF($A9="","",'Monthly Actuals'!J9)</f>
        <v>0</v>
      </c>
      <c r="H9" s="114" t="n">
        <f aca="false">IF($A9="","",'Monthly Actuals'!K9)</f>
        <v>0</v>
      </c>
      <c r="I9" s="114" t="n">
        <f aca="false">IF($A9="","",'Monthly Actuals'!L9)</f>
        <v>0</v>
      </c>
      <c r="J9" s="114" t="n">
        <f aca="false">IF($A9="","",'Monthly Actuals'!M9)</f>
        <v>0</v>
      </c>
      <c r="K9" s="114" t="n">
        <f aca="false">IF($A9="","",'Monthly Actuals'!N9)</f>
        <v>0</v>
      </c>
      <c r="L9" s="114" t="n">
        <f aca="false">IF($A9="","",'Monthly Actuals'!O9)</f>
        <v>0</v>
      </c>
      <c r="M9" s="114" t="n">
        <f aca="false">IF($A9="","",'Monthly Actuals'!P9)</f>
        <v>0</v>
      </c>
      <c r="N9" s="114" t="n">
        <f aca="false">IF($A9="","",'Monthly Actuals'!Q9)</f>
        <v>0</v>
      </c>
      <c r="O9" s="147" t="n">
        <f aca="false">IF(A9="","",SUM(C9:N9))</f>
        <v>0</v>
      </c>
      <c r="P9" s="147" t="n">
        <f aca="false">IF(A9="","",B9*12)</f>
        <v>0</v>
      </c>
      <c r="Q9" s="199" t="n">
        <f aca="false">IF(A9="","",O9-P9)</f>
        <v>0</v>
      </c>
    </row>
    <row r="10" customFormat="false" ht="15" hidden="false" customHeight="false" outlineLevel="0" collapsed="false">
      <c r="A10" s="154" t="str">
        <f aca="false">'Monthly Actuals'!A10</f>
        <v>Water / sewer</v>
      </c>
      <c r="B10" s="114" t="n">
        <f aca="false">IF(A10="","",'Monthly Actuals'!B10)</f>
        <v>0</v>
      </c>
      <c r="C10" s="114" t="n">
        <f aca="false">IF($A10="","",'Monthly Actuals'!F10)</f>
        <v>0</v>
      </c>
      <c r="D10" s="114" t="n">
        <f aca="false">IF($A10="","",'Monthly Actuals'!G10)</f>
        <v>0</v>
      </c>
      <c r="E10" s="114" t="n">
        <f aca="false">IF($A10="","",'Monthly Actuals'!H10)</f>
        <v>0</v>
      </c>
      <c r="F10" s="114" t="n">
        <f aca="false">IF($A10="","",'Monthly Actuals'!I10)</f>
        <v>0</v>
      </c>
      <c r="G10" s="114" t="n">
        <f aca="false">IF($A10="","",'Monthly Actuals'!J10)</f>
        <v>0</v>
      </c>
      <c r="H10" s="114" t="n">
        <f aca="false">IF($A10="","",'Monthly Actuals'!K10)</f>
        <v>0</v>
      </c>
      <c r="I10" s="114" t="n">
        <f aca="false">IF($A10="","",'Monthly Actuals'!L10)</f>
        <v>0</v>
      </c>
      <c r="J10" s="114" t="n">
        <f aca="false">IF($A10="","",'Monthly Actuals'!M10)</f>
        <v>0</v>
      </c>
      <c r="K10" s="114" t="n">
        <f aca="false">IF($A10="","",'Monthly Actuals'!N10)</f>
        <v>0</v>
      </c>
      <c r="L10" s="114" t="n">
        <f aca="false">IF($A10="","",'Monthly Actuals'!O10)</f>
        <v>0</v>
      </c>
      <c r="M10" s="114" t="n">
        <f aca="false">IF($A10="","",'Monthly Actuals'!P10)</f>
        <v>0</v>
      </c>
      <c r="N10" s="114" t="n">
        <f aca="false">IF($A10="","",'Monthly Actuals'!Q10)</f>
        <v>0</v>
      </c>
      <c r="O10" s="147" t="n">
        <f aca="false">IF(A10="","",SUM(C10:N10))</f>
        <v>0</v>
      </c>
      <c r="P10" s="147" t="n">
        <f aca="false">IF(A10="","",B10*12)</f>
        <v>0</v>
      </c>
      <c r="Q10" s="199" t="n">
        <f aca="false">IF(A10="","",O10-P10)</f>
        <v>0</v>
      </c>
    </row>
    <row r="11" customFormat="false" ht="15" hidden="false" customHeight="false" outlineLevel="0" collapsed="false">
      <c r="A11" s="154" t="str">
        <f aca="false">'Monthly Actuals'!A11</f>
        <v>Trash / recycling</v>
      </c>
      <c r="B11" s="114" t="n">
        <f aca="false">IF(A11="","",'Monthly Actuals'!B11)</f>
        <v>0</v>
      </c>
      <c r="C11" s="114" t="n">
        <f aca="false">IF($A11="","",'Monthly Actuals'!F11)</f>
        <v>0</v>
      </c>
      <c r="D11" s="114" t="n">
        <f aca="false">IF($A11="","",'Monthly Actuals'!G11)</f>
        <v>0</v>
      </c>
      <c r="E11" s="114" t="n">
        <f aca="false">IF($A11="","",'Monthly Actuals'!H11)</f>
        <v>0</v>
      </c>
      <c r="F11" s="114" t="n">
        <f aca="false">IF($A11="","",'Monthly Actuals'!I11)</f>
        <v>0</v>
      </c>
      <c r="G11" s="114" t="n">
        <f aca="false">IF($A11="","",'Monthly Actuals'!J11)</f>
        <v>0</v>
      </c>
      <c r="H11" s="114" t="n">
        <f aca="false">IF($A11="","",'Monthly Actuals'!K11)</f>
        <v>0</v>
      </c>
      <c r="I11" s="114" t="n">
        <f aca="false">IF($A11="","",'Monthly Actuals'!L11)</f>
        <v>0</v>
      </c>
      <c r="J11" s="114" t="n">
        <f aca="false">IF($A11="","",'Monthly Actuals'!M11)</f>
        <v>0</v>
      </c>
      <c r="K11" s="114" t="n">
        <f aca="false">IF($A11="","",'Monthly Actuals'!N11)</f>
        <v>0</v>
      </c>
      <c r="L11" s="114" t="n">
        <f aca="false">IF($A11="","",'Monthly Actuals'!O11)</f>
        <v>0</v>
      </c>
      <c r="M11" s="114" t="n">
        <f aca="false">IF($A11="","",'Monthly Actuals'!P11)</f>
        <v>0</v>
      </c>
      <c r="N11" s="114" t="n">
        <f aca="false">IF($A11="","",'Monthly Actuals'!Q11)</f>
        <v>0</v>
      </c>
      <c r="O11" s="147" t="n">
        <f aca="false">IF(A11="","",SUM(C11:N11))</f>
        <v>0</v>
      </c>
      <c r="P11" s="147" t="n">
        <f aca="false">IF(A11="","",B11*12)</f>
        <v>0</v>
      </c>
      <c r="Q11" s="199" t="n">
        <f aca="false">IF(A11="","",O11-P11)</f>
        <v>0</v>
      </c>
    </row>
    <row r="12" customFormat="false" ht="15" hidden="false" customHeight="false" outlineLevel="0" collapsed="false">
      <c r="A12" s="154" t="str">
        <f aca="false">'Monthly Actuals'!A12</f>
        <v>Internet</v>
      </c>
      <c r="B12" s="114" t="n">
        <f aca="false">IF(A12="","",'Monthly Actuals'!B12)</f>
        <v>0</v>
      </c>
      <c r="C12" s="114" t="n">
        <f aca="false">IF($A12="","",'Monthly Actuals'!F12)</f>
        <v>0</v>
      </c>
      <c r="D12" s="114" t="n">
        <f aca="false">IF($A12="","",'Monthly Actuals'!G12)</f>
        <v>0</v>
      </c>
      <c r="E12" s="114" t="n">
        <f aca="false">IF($A12="","",'Monthly Actuals'!H12)</f>
        <v>0</v>
      </c>
      <c r="F12" s="114" t="n">
        <f aca="false">IF($A12="","",'Monthly Actuals'!I12)</f>
        <v>0</v>
      </c>
      <c r="G12" s="114" t="n">
        <f aca="false">IF($A12="","",'Monthly Actuals'!J12)</f>
        <v>0</v>
      </c>
      <c r="H12" s="114" t="n">
        <f aca="false">IF($A12="","",'Monthly Actuals'!K12)</f>
        <v>0</v>
      </c>
      <c r="I12" s="114" t="n">
        <f aca="false">IF($A12="","",'Monthly Actuals'!L12)</f>
        <v>0</v>
      </c>
      <c r="J12" s="114" t="n">
        <f aca="false">IF($A12="","",'Monthly Actuals'!M12)</f>
        <v>0</v>
      </c>
      <c r="K12" s="114" t="n">
        <f aca="false">IF($A12="","",'Monthly Actuals'!N12)</f>
        <v>0</v>
      </c>
      <c r="L12" s="114" t="n">
        <f aca="false">IF($A12="","",'Monthly Actuals'!O12)</f>
        <v>0</v>
      </c>
      <c r="M12" s="114" t="n">
        <f aca="false">IF($A12="","",'Monthly Actuals'!P12)</f>
        <v>0</v>
      </c>
      <c r="N12" s="114" t="n">
        <f aca="false">IF($A12="","",'Monthly Actuals'!Q12)</f>
        <v>0</v>
      </c>
      <c r="O12" s="147" t="n">
        <f aca="false">IF(A12="","",SUM(C12:N12))</f>
        <v>0</v>
      </c>
      <c r="P12" s="147" t="n">
        <f aca="false">IF(A12="","",B12*12)</f>
        <v>0</v>
      </c>
      <c r="Q12" s="199" t="n">
        <f aca="false">IF(A12="","",O12-P12)</f>
        <v>0</v>
      </c>
    </row>
    <row r="13" customFormat="false" ht="15" hidden="false" customHeight="false" outlineLevel="0" collapsed="false">
      <c r="A13" s="154" t="str">
        <f aca="false">'Monthly Actuals'!A13</f>
        <v>Cell phones</v>
      </c>
      <c r="B13" s="114" t="n">
        <f aca="false">IF(A13="","",'Monthly Actuals'!B13)</f>
        <v>0</v>
      </c>
      <c r="C13" s="114" t="n">
        <f aca="false">IF($A13="","",'Monthly Actuals'!F13)</f>
        <v>0</v>
      </c>
      <c r="D13" s="114" t="n">
        <f aca="false">IF($A13="","",'Monthly Actuals'!G13)</f>
        <v>0</v>
      </c>
      <c r="E13" s="114" t="n">
        <f aca="false">IF($A13="","",'Monthly Actuals'!H13)</f>
        <v>0</v>
      </c>
      <c r="F13" s="114" t="n">
        <f aca="false">IF($A13="","",'Monthly Actuals'!I13)</f>
        <v>0</v>
      </c>
      <c r="G13" s="114" t="n">
        <f aca="false">IF($A13="","",'Monthly Actuals'!J13)</f>
        <v>0</v>
      </c>
      <c r="H13" s="114" t="n">
        <f aca="false">IF($A13="","",'Monthly Actuals'!K13)</f>
        <v>0</v>
      </c>
      <c r="I13" s="114" t="n">
        <f aca="false">IF($A13="","",'Monthly Actuals'!L13)</f>
        <v>0</v>
      </c>
      <c r="J13" s="114" t="n">
        <f aca="false">IF($A13="","",'Monthly Actuals'!M13)</f>
        <v>0</v>
      </c>
      <c r="K13" s="114" t="n">
        <f aca="false">IF($A13="","",'Monthly Actuals'!N13)</f>
        <v>0</v>
      </c>
      <c r="L13" s="114" t="n">
        <f aca="false">IF($A13="","",'Monthly Actuals'!O13)</f>
        <v>0</v>
      </c>
      <c r="M13" s="114" t="n">
        <f aca="false">IF($A13="","",'Monthly Actuals'!P13)</f>
        <v>0</v>
      </c>
      <c r="N13" s="114" t="n">
        <f aca="false">IF($A13="","",'Monthly Actuals'!Q13)</f>
        <v>0</v>
      </c>
      <c r="O13" s="147" t="n">
        <f aca="false">IF(A13="","",SUM(C13:N13))</f>
        <v>0</v>
      </c>
      <c r="P13" s="147" t="n">
        <f aca="false">IF(A13="","",B13*12)</f>
        <v>0</v>
      </c>
      <c r="Q13" s="199" t="n">
        <f aca="false">IF(A13="","",O13-P13)</f>
        <v>0</v>
      </c>
    </row>
    <row r="14" customFormat="false" ht="15" hidden="false" customHeight="false" outlineLevel="0" collapsed="false">
      <c r="A14" s="154" t="str">
        <f aca="false">'Monthly Actuals'!A14</f>
        <v>Streaming (Netflix, Spotify…)</v>
      </c>
      <c r="B14" s="114" t="n">
        <f aca="false">IF(A14="","",'Monthly Actuals'!B14)</f>
        <v>0</v>
      </c>
      <c r="C14" s="114" t="n">
        <f aca="false">IF($A14="","",'Monthly Actuals'!F14)</f>
        <v>0</v>
      </c>
      <c r="D14" s="114" t="n">
        <f aca="false">IF($A14="","",'Monthly Actuals'!G14)</f>
        <v>0</v>
      </c>
      <c r="E14" s="114" t="n">
        <f aca="false">IF($A14="","",'Monthly Actuals'!H14)</f>
        <v>0</v>
      </c>
      <c r="F14" s="114" t="n">
        <f aca="false">IF($A14="","",'Monthly Actuals'!I14)</f>
        <v>0</v>
      </c>
      <c r="G14" s="114" t="n">
        <f aca="false">IF($A14="","",'Monthly Actuals'!J14)</f>
        <v>0</v>
      </c>
      <c r="H14" s="114" t="n">
        <f aca="false">IF($A14="","",'Monthly Actuals'!K14)</f>
        <v>0</v>
      </c>
      <c r="I14" s="114" t="n">
        <f aca="false">IF($A14="","",'Monthly Actuals'!L14)</f>
        <v>0</v>
      </c>
      <c r="J14" s="114" t="n">
        <f aca="false">IF($A14="","",'Monthly Actuals'!M14)</f>
        <v>0</v>
      </c>
      <c r="K14" s="114" t="n">
        <f aca="false">IF($A14="","",'Monthly Actuals'!N14)</f>
        <v>0</v>
      </c>
      <c r="L14" s="114" t="n">
        <f aca="false">IF($A14="","",'Monthly Actuals'!O14)</f>
        <v>0</v>
      </c>
      <c r="M14" s="114" t="n">
        <f aca="false">IF($A14="","",'Monthly Actuals'!P14)</f>
        <v>0</v>
      </c>
      <c r="N14" s="114" t="n">
        <f aca="false">IF($A14="","",'Monthly Actuals'!Q14)</f>
        <v>0</v>
      </c>
      <c r="O14" s="147" t="n">
        <f aca="false">IF(A14="","",SUM(C14:N14))</f>
        <v>0</v>
      </c>
      <c r="P14" s="147" t="n">
        <f aca="false">IF(A14="","",B14*12)</f>
        <v>0</v>
      </c>
      <c r="Q14" s="199" t="n">
        <f aca="false">IF(A14="","",O14-P14)</f>
        <v>0</v>
      </c>
    </row>
    <row r="15" customFormat="false" ht="15" hidden="false" customHeight="false" outlineLevel="0" collapsed="false">
      <c r="A15" s="154" t="str">
        <f aca="false">'Monthly Actuals'!A15</f>
        <v>Software &amp; apps</v>
      </c>
      <c r="B15" s="114" t="n">
        <f aca="false">IF(A15="","",'Monthly Actuals'!B15)</f>
        <v>0</v>
      </c>
      <c r="C15" s="114" t="n">
        <f aca="false">IF($A15="","",'Monthly Actuals'!F15)</f>
        <v>0</v>
      </c>
      <c r="D15" s="114" t="n">
        <f aca="false">IF($A15="","",'Monthly Actuals'!G15)</f>
        <v>0</v>
      </c>
      <c r="E15" s="114" t="n">
        <f aca="false">IF($A15="","",'Monthly Actuals'!H15)</f>
        <v>0</v>
      </c>
      <c r="F15" s="114" t="n">
        <f aca="false">IF($A15="","",'Monthly Actuals'!I15)</f>
        <v>0</v>
      </c>
      <c r="G15" s="114" t="n">
        <f aca="false">IF($A15="","",'Monthly Actuals'!J15)</f>
        <v>0</v>
      </c>
      <c r="H15" s="114" t="n">
        <f aca="false">IF($A15="","",'Monthly Actuals'!K15)</f>
        <v>0</v>
      </c>
      <c r="I15" s="114" t="n">
        <f aca="false">IF($A15="","",'Monthly Actuals'!L15)</f>
        <v>0</v>
      </c>
      <c r="J15" s="114" t="n">
        <f aca="false">IF($A15="","",'Monthly Actuals'!M15)</f>
        <v>0</v>
      </c>
      <c r="K15" s="114" t="n">
        <f aca="false">IF($A15="","",'Monthly Actuals'!N15)</f>
        <v>0</v>
      </c>
      <c r="L15" s="114" t="n">
        <f aca="false">IF($A15="","",'Monthly Actuals'!O15)</f>
        <v>0</v>
      </c>
      <c r="M15" s="114" t="n">
        <f aca="false">IF($A15="","",'Monthly Actuals'!P15)</f>
        <v>0</v>
      </c>
      <c r="N15" s="114" t="n">
        <f aca="false">IF($A15="","",'Monthly Actuals'!Q15)</f>
        <v>0</v>
      </c>
      <c r="O15" s="147" t="n">
        <f aca="false">IF(A15="","",SUM(C15:N15))</f>
        <v>0</v>
      </c>
      <c r="P15" s="147" t="n">
        <f aca="false">IF(A15="","",B15*12)</f>
        <v>0</v>
      </c>
      <c r="Q15" s="199" t="n">
        <f aca="false">IF(A15="","",O15-P15)</f>
        <v>0</v>
      </c>
    </row>
    <row r="16" customFormat="false" ht="15" hidden="false" customHeight="false" outlineLevel="0" collapsed="false">
      <c r="A16" s="154" t="str">
        <f aca="false">'Monthly Actuals'!A16</f>
        <v>Car payment</v>
      </c>
      <c r="B16" s="114" t="n">
        <f aca="false">IF(A16="","",'Monthly Actuals'!B16)</f>
        <v>0</v>
      </c>
      <c r="C16" s="114" t="n">
        <f aca="false">IF($A16="","",'Monthly Actuals'!F16)</f>
        <v>0</v>
      </c>
      <c r="D16" s="114" t="n">
        <f aca="false">IF($A16="","",'Monthly Actuals'!G16)</f>
        <v>0</v>
      </c>
      <c r="E16" s="114" t="n">
        <f aca="false">IF($A16="","",'Monthly Actuals'!H16)</f>
        <v>0</v>
      </c>
      <c r="F16" s="114" t="n">
        <f aca="false">IF($A16="","",'Monthly Actuals'!I16)</f>
        <v>0</v>
      </c>
      <c r="G16" s="114" t="n">
        <f aca="false">IF($A16="","",'Monthly Actuals'!J16)</f>
        <v>0</v>
      </c>
      <c r="H16" s="114" t="n">
        <f aca="false">IF($A16="","",'Monthly Actuals'!K16)</f>
        <v>0</v>
      </c>
      <c r="I16" s="114" t="n">
        <f aca="false">IF($A16="","",'Monthly Actuals'!L16)</f>
        <v>0</v>
      </c>
      <c r="J16" s="114" t="n">
        <f aca="false">IF($A16="","",'Monthly Actuals'!M16)</f>
        <v>0</v>
      </c>
      <c r="K16" s="114" t="n">
        <f aca="false">IF($A16="","",'Monthly Actuals'!N16)</f>
        <v>0</v>
      </c>
      <c r="L16" s="114" t="n">
        <f aca="false">IF($A16="","",'Monthly Actuals'!O16)</f>
        <v>0</v>
      </c>
      <c r="M16" s="114" t="n">
        <f aca="false">IF($A16="","",'Monthly Actuals'!P16)</f>
        <v>0</v>
      </c>
      <c r="N16" s="114" t="n">
        <f aca="false">IF($A16="","",'Monthly Actuals'!Q16)</f>
        <v>0</v>
      </c>
      <c r="O16" s="147" t="n">
        <f aca="false">IF(A16="","",SUM(C16:N16))</f>
        <v>0</v>
      </c>
      <c r="P16" s="147" t="n">
        <f aca="false">IF(A16="","",B16*12)</f>
        <v>0</v>
      </c>
      <c r="Q16" s="199" t="n">
        <f aca="false">IF(A16="","",O16-P16)</f>
        <v>0</v>
      </c>
    </row>
    <row r="17" customFormat="false" ht="15" hidden="false" customHeight="false" outlineLevel="0" collapsed="false">
      <c r="A17" s="154" t="str">
        <f aca="false">'Monthly Actuals'!A17</f>
        <v>Car insurance</v>
      </c>
      <c r="B17" s="114" t="n">
        <f aca="false">IF(A17="","",'Monthly Actuals'!B17)</f>
        <v>0</v>
      </c>
      <c r="C17" s="114" t="n">
        <f aca="false">IF($A17="","",'Monthly Actuals'!F17)</f>
        <v>0</v>
      </c>
      <c r="D17" s="114" t="n">
        <f aca="false">IF($A17="","",'Monthly Actuals'!G17)</f>
        <v>0</v>
      </c>
      <c r="E17" s="114" t="n">
        <f aca="false">IF($A17="","",'Monthly Actuals'!H17)</f>
        <v>0</v>
      </c>
      <c r="F17" s="114" t="n">
        <f aca="false">IF($A17="","",'Monthly Actuals'!I17)</f>
        <v>0</v>
      </c>
      <c r="G17" s="114" t="n">
        <f aca="false">IF($A17="","",'Monthly Actuals'!J17)</f>
        <v>0</v>
      </c>
      <c r="H17" s="114" t="n">
        <f aca="false">IF($A17="","",'Monthly Actuals'!K17)</f>
        <v>0</v>
      </c>
      <c r="I17" s="114" t="n">
        <f aca="false">IF($A17="","",'Monthly Actuals'!L17)</f>
        <v>0</v>
      </c>
      <c r="J17" s="114" t="n">
        <f aca="false">IF($A17="","",'Monthly Actuals'!M17)</f>
        <v>0</v>
      </c>
      <c r="K17" s="114" t="n">
        <f aca="false">IF($A17="","",'Monthly Actuals'!N17)</f>
        <v>0</v>
      </c>
      <c r="L17" s="114" t="n">
        <f aca="false">IF($A17="","",'Monthly Actuals'!O17)</f>
        <v>0</v>
      </c>
      <c r="M17" s="114" t="n">
        <f aca="false">IF($A17="","",'Monthly Actuals'!P17)</f>
        <v>0</v>
      </c>
      <c r="N17" s="114" t="n">
        <f aca="false">IF($A17="","",'Monthly Actuals'!Q17)</f>
        <v>0</v>
      </c>
      <c r="O17" s="147" t="n">
        <f aca="false">IF(A17="","",SUM(C17:N17))</f>
        <v>0</v>
      </c>
      <c r="P17" s="147" t="n">
        <f aca="false">IF(A17="","",B17*12)</f>
        <v>0</v>
      </c>
      <c r="Q17" s="199" t="n">
        <f aca="false">IF(A17="","",O17-P17)</f>
        <v>0</v>
      </c>
    </row>
    <row r="18" customFormat="false" ht="15" hidden="false" customHeight="false" outlineLevel="0" collapsed="false">
      <c r="A18" s="154" t="str">
        <f aca="false">'Monthly Actuals'!A18</f>
        <v>Fuel</v>
      </c>
      <c r="B18" s="114" t="n">
        <f aca="false">IF(A18="","",'Monthly Actuals'!B18)</f>
        <v>0</v>
      </c>
      <c r="C18" s="114" t="n">
        <f aca="false">IF($A18="","",'Monthly Actuals'!F18)</f>
        <v>0</v>
      </c>
      <c r="D18" s="114" t="n">
        <f aca="false">IF($A18="","",'Monthly Actuals'!G18)</f>
        <v>0</v>
      </c>
      <c r="E18" s="114" t="n">
        <f aca="false">IF($A18="","",'Monthly Actuals'!H18)</f>
        <v>0</v>
      </c>
      <c r="F18" s="114" t="n">
        <f aca="false">IF($A18="","",'Monthly Actuals'!I18)</f>
        <v>0</v>
      </c>
      <c r="G18" s="114" t="n">
        <f aca="false">IF($A18="","",'Monthly Actuals'!J18)</f>
        <v>0</v>
      </c>
      <c r="H18" s="114" t="n">
        <f aca="false">IF($A18="","",'Monthly Actuals'!K18)</f>
        <v>0</v>
      </c>
      <c r="I18" s="114" t="n">
        <f aca="false">IF($A18="","",'Monthly Actuals'!L18)</f>
        <v>0</v>
      </c>
      <c r="J18" s="114" t="n">
        <f aca="false">IF($A18="","",'Monthly Actuals'!M18)</f>
        <v>0</v>
      </c>
      <c r="K18" s="114" t="n">
        <f aca="false">IF($A18="","",'Monthly Actuals'!N18)</f>
        <v>0</v>
      </c>
      <c r="L18" s="114" t="n">
        <f aca="false">IF($A18="","",'Monthly Actuals'!O18)</f>
        <v>0</v>
      </c>
      <c r="M18" s="114" t="n">
        <f aca="false">IF($A18="","",'Monthly Actuals'!P18)</f>
        <v>0</v>
      </c>
      <c r="N18" s="114" t="n">
        <f aca="false">IF($A18="","",'Monthly Actuals'!Q18)</f>
        <v>0</v>
      </c>
      <c r="O18" s="147" t="n">
        <f aca="false">IF(A18="","",SUM(C18:N18))</f>
        <v>0</v>
      </c>
      <c r="P18" s="147" t="n">
        <f aca="false">IF(A18="","",B18*12)</f>
        <v>0</v>
      </c>
      <c r="Q18" s="199" t="n">
        <f aca="false">IF(A18="","",O18-P18)</f>
        <v>0</v>
      </c>
    </row>
    <row r="19" customFormat="false" ht="15" hidden="false" customHeight="false" outlineLevel="0" collapsed="false">
      <c r="A19" s="154" t="str">
        <f aca="false">'Monthly Actuals'!A19</f>
        <v>Parking &amp; tolls</v>
      </c>
      <c r="B19" s="114" t="n">
        <f aca="false">IF(A19="","",'Monthly Actuals'!B19)</f>
        <v>0</v>
      </c>
      <c r="C19" s="114" t="n">
        <f aca="false">IF($A19="","",'Monthly Actuals'!F19)</f>
        <v>0</v>
      </c>
      <c r="D19" s="114" t="n">
        <f aca="false">IF($A19="","",'Monthly Actuals'!G19)</f>
        <v>0</v>
      </c>
      <c r="E19" s="114" t="n">
        <f aca="false">IF($A19="","",'Monthly Actuals'!H19)</f>
        <v>0</v>
      </c>
      <c r="F19" s="114" t="n">
        <f aca="false">IF($A19="","",'Monthly Actuals'!I19)</f>
        <v>0</v>
      </c>
      <c r="G19" s="114" t="n">
        <f aca="false">IF($A19="","",'Monthly Actuals'!J19)</f>
        <v>0</v>
      </c>
      <c r="H19" s="114" t="n">
        <f aca="false">IF($A19="","",'Monthly Actuals'!K19)</f>
        <v>0</v>
      </c>
      <c r="I19" s="114" t="n">
        <f aca="false">IF($A19="","",'Monthly Actuals'!L19)</f>
        <v>0</v>
      </c>
      <c r="J19" s="114" t="n">
        <f aca="false">IF($A19="","",'Monthly Actuals'!M19)</f>
        <v>0</v>
      </c>
      <c r="K19" s="114" t="n">
        <f aca="false">IF($A19="","",'Monthly Actuals'!N19)</f>
        <v>0</v>
      </c>
      <c r="L19" s="114" t="n">
        <f aca="false">IF($A19="","",'Monthly Actuals'!O19)</f>
        <v>0</v>
      </c>
      <c r="M19" s="114" t="n">
        <f aca="false">IF($A19="","",'Monthly Actuals'!P19)</f>
        <v>0</v>
      </c>
      <c r="N19" s="114" t="n">
        <f aca="false">IF($A19="","",'Monthly Actuals'!Q19)</f>
        <v>0</v>
      </c>
      <c r="O19" s="147" t="n">
        <f aca="false">IF(A19="","",SUM(C19:N19))</f>
        <v>0</v>
      </c>
      <c r="P19" s="147" t="n">
        <f aca="false">IF(A19="","",B19*12)</f>
        <v>0</v>
      </c>
      <c r="Q19" s="199" t="n">
        <f aca="false">IF(A19="","",O19-P19)</f>
        <v>0</v>
      </c>
    </row>
    <row r="20" customFormat="false" ht="15" hidden="false" customHeight="false" outlineLevel="0" collapsed="false">
      <c r="A20" s="154" t="str">
        <f aca="false">'Monthly Actuals'!A20</f>
        <v>Groceries &amp; household</v>
      </c>
      <c r="B20" s="114" t="n">
        <f aca="false">IF(A20="","",'Monthly Actuals'!B20)</f>
        <v>0</v>
      </c>
      <c r="C20" s="114" t="n">
        <f aca="false">IF($A20="","",'Monthly Actuals'!F20)</f>
        <v>86.42</v>
      </c>
      <c r="D20" s="114" t="n">
        <f aca="false">IF($A20="","",'Monthly Actuals'!G20)</f>
        <v>0</v>
      </c>
      <c r="E20" s="114" t="n">
        <f aca="false">IF($A20="","",'Monthly Actuals'!H20)</f>
        <v>0</v>
      </c>
      <c r="F20" s="114" t="n">
        <f aca="false">IF($A20="","",'Monthly Actuals'!I20)</f>
        <v>0</v>
      </c>
      <c r="G20" s="114" t="n">
        <f aca="false">IF($A20="","",'Monthly Actuals'!J20)</f>
        <v>0</v>
      </c>
      <c r="H20" s="114" t="n">
        <f aca="false">IF($A20="","",'Monthly Actuals'!K20)</f>
        <v>0</v>
      </c>
      <c r="I20" s="114" t="n">
        <f aca="false">IF($A20="","",'Monthly Actuals'!L20)</f>
        <v>0</v>
      </c>
      <c r="J20" s="114" t="n">
        <f aca="false">IF($A20="","",'Monthly Actuals'!M20)</f>
        <v>0</v>
      </c>
      <c r="K20" s="114" t="n">
        <f aca="false">IF($A20="","",'Monthly Actuals'!N20)</f>
        <v>0</v>
      </c>
      <c r="L20" s="114" t="n">
        <f aca="false">IF($A20="","",'Monthly Actuals'!O20)</f>
        <v>0</v>
      </c>
      <c r="M20" s="114" t="n">
        <f aca="false">IF($A20="","",'Monthly Actuals'!P20)</f>
        <v>0</v>
      </c>
      <c r="N20" s="114" t="n">
        <f aca="false">IF($A20="","",'Monthly Actuals'!Q20)</f>
        <v>0</v>
      </c>
      <c r="O20" s="147" t="n">
        <f aca="false">IF(A20="","",SUM(C20:N20))</f>
        <v>86.42</v>
      </c>
      <c r="P20" s="147" t="n">
        <f aca="false">IF(A20="","",B20*12)</f>
        <v>0</v>
      </c>
      <c r="Q20" s="199" t="n">
        <f aca="false">IF(A20="","",O20-P20)</f>
        <v>86.42</v>
      </c>
    </row>
    <row r="21" customFormat="false" ht="15" hidden="false" customHeight="false" outlineLevel="0" collapsed="false">
      <c r="A21" s="154" t="str">
        <f aca="false">'Monthly Actuals'!A21</f>
        <v>Dining out</v>
      </c>
      <c r="B21" s="114" t="n">
        <f aca="false">IF(A21="","",'Monthly Actuals'!B21)</f>
        <v>0</v>
      </c>
      <c r="C21" s="114" t="n">
        <f aca="false">IF($A21="","",'Monthly Actuals'!F21)</f>
        <v>0</v>
      </c>
      <c r="D21" s="114" t="n">
        <f aca="false">IF($A21="","",'Monthly Actuals'!G21)</f>
        <v>0</v>
      </c>
      <c r="E21" s="114" t="n">
        <f aca="false">IF($A21="","",'Monthly Actuals'!H21)</f>
        <v>0</v>
      </c>
      <c r="F21" s="114" t="n">
        <f aca="false">IF($A21="","",'Monthly Actuals'!I21)</f>
        <v>0</v>
      </c>
      <c r="G21" s="114" t="n">
        <f aca="false">IF($A21="","",'Monthly Actuals'!J21)</f>
        <v>0</v>
      </c>
      <c r="H21" s="114" t="n">
        <f aca="false">IF($A21="","",'Monthly Actuals'!K21)</f>
        <v>0</v>
      </c>
      <c r="I21" s="114" t="n">
        <f aca="false">IF($A21="","",'Monthly Actuals'!L21)</f>
        <v>0</v>
      </c>
      <c r="J21" s="114" t="n">
        <f aca="false">IF($A21="","",'Monthly Actuals'!M21)</f>
        <v>0</v>
      </c>
      <c r="K21" s="114" t="n">
        <f aca="false">IF($A21="","",'Monthly Actuals'!N21)</f>
        <v>0</v>
      </c>
      <c r="L21" s="114" t="n">
        <f aca="false">IF($A21="","",'Monthly Actuals'!O21)</f>
        <v>0</v>
      </c>
      <c r="M21" s="114" t="n">
        <f aca="false">IF($A21="","",'Monthly Actuals'!P21)</f>
        <v>0</v>
      </c>
      <c r="N21" s="114" t="n">
        <f aca="false">IF($A21="","",'Monthly Actuals'!Q21)</f>
        <v>0</v>
      </c>
      <c r="O21" s="147" t="n">
        <f aca="false">IF(A21="","",SUM(C21:N21))</f>
        <v>0</v>
      </c>
      <c r="P21" s="147" t="n">
        <f aca="false">IF(A21="","",B21*12)</f>
        <v>0</v>
      </c>
      <c r="Q21" s="199" t="n">
        <f aca="false">IF(A21="","",O21-P21)</f>
        <v>0</v>
      </c>
    </row>
    <row r="22" customFormat="false" ht="15" hidden="false" customHeight="false" outlineLevel="0" collapsed="false">
      <c r="A22" s="154" t="str">
        <f aca="false">'Monthly Actuals'!A22</f>
        <v>Health insurance premium</v>
      </c>
      <c r="B22" s="114" t="n">
        <f aca="false">IF(A22="","",'Monthly Actuals'!B22)</f>
        <v>0</v>
      </c>
      <c r="C22" s="114" t="n">
        <f aca="false">IF($A22="","",'Monthly Actuals'!F22)</f>
        <v>0</v>
      </c>
      <c r="D22" s="114" t="n">
        <f aca="false">IF($A22="","",'Monthly Actuals'!G22)</f>
        <v>0</v>
      </c>
      <c r="E22" s="114" t="n">
        <f aca="false">IF($A22="","",'Monthly Actuals'!H22)</f>
        <v>0</v>
      </c>
      <c r="F22" s="114" t="n">
        <f aca="false">IF($A22="","",'Monthly Actuals'!I22)</f>
        <v>0</v>
      </c>
      <c r="G22" s="114" t="n">
        <f aca="false">IF($A22="","",'Monthly Actuals'!J22)</f>
        <v>0</v>
      </c>
      <c r="H22" s="114" t="n">
        <f aca="false">IF($A22="","",'Monthly Actuals'!K22)</f>
        <v>0</v>
      </c>
      <c r="I22" s="114" t="n">
        <f aca="false">IF($A22="","",'Monthly Actuals'!L22)</f>
        <v>0</v>
      </c>
      <c r="J22" s="114" t="n">
        <f aca="false">IF($A22="","",'Monthly Actuals'!M22)</f>
        <v>0</v>
      </c>
      <c r="K22" s="114" t="n">
        <f aca="false">IF($A22="","",'Monthly Actuals'!N22)</f>
        <v>0</v>
      </c>
      <c r="L22" s="114" t="n">
        <f aca="false">IF($A22="","",'Monthly Actuals'!O22)</f>
        <v>0</v>
      </c>
      <c r="M22" s="114" t="n">
        <f aca="false">IF($A22="","",'Monthly Actuals'!P22)</f>
        <v>0</v>
      </c>
      <c r="N22" s="114" t="n">
        <f aca="false">IF($A22="","",'Monthly Actuals'!Q22)</f>
        <v>0</v>
      </c>
      <c r="O22" s="147" t="n">
        <f aca="false">IF(A22="","",SUM(C22:N22))</f>
        <v>0</v>
      </c>
      <c r="P22" s="147" t="n">
        <f aca="false">IF(A22="","",B22*12)</f>
        <v>0</v>
      </c>
      <c r="Q22" s="199" t="n">
        <f aca="false">IF(A22="","",O22-P22)</f>
        <v>0</v>
      </c>
    </row>
    <row r="23" customFormat="false" ht="15" hidden="false" customHeight="false" outlineLevel="0" collapsed="false">
      <c r="A23" s="154" t="str">
        <f aca="false">'Monthly Actuals'!A23</f>
        <v>Doctor &amp; dental</v>
      </c>
      <c r="B23" s="114" t="n">
        <f aca="false">IF(A23="","",'Monthly Actuals'!B23)</f>
        <v>0</v>
      </c>
      <c r="C23" s="114" t="n">
        <f aca="false">IF($A23="","",'Monthly Actuals'!F23)</f>
        <v>0</v>
      </c>
      <c r="D23" s="114" t="n">
        <f aca="false">IF($A23="","",'Monthly Actuals'!G23)</f>
        <v>0</v>
      </c>
      <c r="E23" s="114" t="n">
        <f aca="false">IF($A23="","",'Monthly Actuals'!H23)</f>
        <v>0</v>
      </c>
      <c r="F23" s="114" t="n">
        <f aca="false">IF($A23="","",'Monthly Actuals'!I23)</f>
        <v>0</v>
      </c>
      <c r="G23" s="114" t="n">
        <f aca="false">IF($A23="","",'Monthly Actuals'!J23)</f>
        <v>0</v>
      </c>
      <c r="H23" s="114" t="n">
        <f aca="false">IF($A23="","",'Monthly Actuals'!K23)</f>
        <v>0</v>
      </c>
      <c r="I23" s="114" t="n">
        <f aca="false">IF($A23="","",'Monthly Actuals'!L23)</f>
        <v>0</v>
      </c>
      <c r="J23" s="114" t="n">
        <f aca="false">IF($A23="","",'Monthly Actuals'!M23)</f>
        <v>0</v>
      </c>
      <c r="K23" s="114" t="n">
        <f aca="false">IF($A23="","",'Monthly Actuals'!N23)</f>
        <v>0</v>
      </c>
      <c r="L23" s="114" t="n">
        <f aca="false">IF($A23="","",'Monthly Actuals'!O23)</f>
        <v>0</v>
      </c>
      <c r="M23" s="114" t="n">
        <f aca="false">IF($A23="","",'Monthly Actuals'!P23)</f>
        <v>0</v>
      </c>
      <c r="N23" s="114" t="n">
        <f aca="false">IF($A23="","",'Monthly Actuals'!Q23)</f>
        <v>0</v>
      </c>
      <c r="O23" s="147" t="n">
        <f aca="false">IF(A23="","",SUM(C23:N23))</f>
        <v>0</v>
      </c>
      <c r="P23" s="147" t="n">
        <f aca="false">IF(A23="","",B23*12)</f>
        <v>0</v>
      </c>
      <c r="Q23" s="199" t="n">
        <f aca="false">IF(A23="","",O23-P23)</f>
        <v>0</v>
      </c>
    </row>
    <row r="24" customFormat="false" ht="15" hidden="false" customHeight="false" outlineLevel="0" collapsed="false">
      <c r="A24" s="154" t="str">
        <f aca="false">'Monthly Actuals'!A24</f>
        <v>Prescriptions</v>
      </c>
      <c r="B24" s="114" t="n">
        <f aca="false">IF(A24="","",'Monthly Actuals'!B24)</f>
        <v>0</v>
      </c>
      <c r="C24" s="114" t="n">
        <f aca="false">IF($A24="","",'Monthly Actuals'!F24)</f>
        <v>0</v>
      </c>
      <c r="D24" s="114" t="n">
        <f aca="false">IF($A24="","",'Monthly Actuals'!G24)</f>
        <v>0</v>
      </c>
      <c r="E24" s="114" t="n">
        <f aca="false">IF($A24="","",'Monthly Actuals'!H24)</f>
        <v>0</v>
      </c>
      <c r="F24" s="114" t="n">
        <f aca="false">IF($A24="","",'Monthly Actuals'!I24)</f>
        <v>0</v>
      </c>
      <c r="G24" s="114" t="n">
        <f aca="false">IF($A24="","",'Monthly Actuals'!J24)</f>
        <v>0</v>
      </c>
      <c r="H24" s="114" t="n">
        <f aca="false">IF($A24="","",'Monthly Actuals'!K24)</f>
        <v>0</v>
      </c>
      <c r="I24" s="114" t="n">
        <f aca="false">IF($A24="","",'Monthly Actuals'!L24)</f>
        <v>0</v>
      </c>
      <c r="J24" s="114" t="n">
        <f aca="false">IF($A24="","",'Monthly Actuals'!M24)</f>
        <v>0</v>
      </c>
      <c r="K24" s="114" t="n">
        <f aca="false">IF($A24="","",'Monthly Actuals'!N24)</f>
        <v>0</v>
      </c>
      <c r="L24" s="114" t="n">
        <f aca="false">IF($A24="","",'Monthly Actuals'!O24)</f>
        <v>0</v>
      </c>
      <c r="M24" s="114" t="n">
        <f aca="false">IF($A24="","",'Monthly Actuals'!P24)</f>
        <v>0</v>
      </c>
      <c r="N24" s="114" t="n">
        <f aca="false">IF($A24="","",'Monthly Actuals'!Q24)</f>
        <v>0</v>
      </c>
      <c r="O24" s="147" t="n">
        <f aca="false">IF(A24="","",SUM(C24:N24))</f>
        <v>0</v>
      </c>
      <c r="P24" s="147" t="n">
        <f aca="false">IF(A24="","",B24*12)</f>
        <v>0</v>
      </c>
      <c r="Q24" s="199" t="n">
        <f aca="false">IF(A24="","",O24-P24)</f>
        <v>0</v>
      </c>
    </row>
    <row r="25" customFormat="false" ht="15" hidden="false" customHeight="false" outlineLevel="0" collapsed="false">
      <c r="A25" s="154" t="str">
        <f aca="false">'Monthly Actuals'!A25</f>
        <v>Gym / fitness</v>
      </c>
      <c r="B25" s="114" t="n">
        <f aca="false">IF(A25="","",'Monthly Actuals'!B25)</f>
        <v>0</v>
      </c>
      <c r="C25" s="114" t="n">
        <f aca="false">IF($A25="","",'Monthly Actuals'!F25)</f>
        <v>0</v>
      </c>
      <c r="D25" s="114" t="n">
        <f aca="false">IF($A25="","",'Monthly Actuals'!G25)</f>
        <v>0</v>
      </c>
      <c r="E25" s="114" t="n">
        <f aca="false">IF($A25="","",'Monthly Actuals'!H25)</f>
        <v>0</v>
      </c>
      <c r="F25" s="114" t="n">
        <f aca="false">IF($A25="","",'Monthly Actuals'!I25)</f>
        <v>0</v>
      </c>
      <c r="G25" s="114" t="n">
        <f aca="false">IF($A25="","",'Monthly Actuals'!J25)</f>
        <v>0</v>
      </c>
      <c r="H25" s="114" t="n">
        <f aca="false">IF($A25="","",'Monthly Actuals'!K25)</f>
        <v>0</v>
      </c>
      <c r="I25" s="114" t="n">
        <f aca="false">IF($A25="","",'Monthly Actuals'!L25)</f>
        <v>0</v>
      </c>
      <c r="J25" s="114" t="n">
        <f aca="false">IF($A25="","",'Monthly Actuals'!M25)</f>
        <v>0</v>
      </c>
      <c r="K25" s="114" t="n">
        <f aca="false">IF($A25="","",'Monthly Actuals'!N25)</f>
        <v>0</v>
      </c>
      <c r="L25" s="114" t="n">
        <f aca="false">IF($A25="","",'Monthly Actuals'!O25)</f>
        <v>0</v>
      </c>
      <c r="M25" s="114" t="n">
        <f aca="false">IF($A25="","",'Monthly Actuals'!P25)</f>
        <v>0</v>
      </c>
      <c r="N25" s="114" t="n">
        <f aca="false">IF($A25="","",'Monthly Actuals'!Q25)</f>
        <v>0</v>
      </c>
      <c r="O25" s="147" t="n">
        <f aca="false">IF(A25="","",SUM(C25:N25))</f>
        <v>0</v>
      </c>
      <c r="P25" s="147" t="n">
        <f aca="false">IF(A25="","",B25*12)</f>
        <v>0</v>
      </c>
      <c r="Q25" s="199" t="n">
        <f aca="false">IF(A25="","",O25-P25)</f>
        <v>0</v>
      </c>
    </row>
    <row r="26" customFormat="false" ht="15" hidden="false" customHeight="false" outlineLevel="0" collapsed="false">
      <c r="A26" s="154" t="str">
        <f aca="false">'Monthly Actuals'!A26</f>
        <v>Childcare / daycare</v>
      </c>
      <c r="B26" s="114" t="n">
        <f aca="false">IF(A26="","",'Monthly Actuals'!B26)</f>
        <v>0</v>
      </c>
      <c r="C26" s="114" t="n">
        <f aca="false">IF($A26="","",'Monthly Actuals'!F26)</f>
        <v>0</v>
      </c>
      <c r="D26" s="114" t="n">
        <f aca="false">IF($A26="","",'Monthly Actuals'!G26)</f>
        <v>0</v>
      </c>
      <c r="E26" s="114" t="n">
        <f aca="false">IF($A26="","",'Monthly Actuals'!H26)</f>
        <v>0</v>
      </c>
      <c r="F26" s="114" t="n">
        <f aca="false">IF($A26="","",'Monthly Actuals'!I26)</f>
        <v>0</v>
      </c>
      <c r="G26" s="114" t="n">
        <f aca="false">IF($A26="","",'Monthly Actuals'!J26)</f>
        <v>0</v>
      </c>
      <c r="H26" s="114" t="n">
        <f aca="false">IF($A26="","",'Monthly Actuals'!K26)</f>
        <v>0</v>
      </c>
      <c r="I26" s="114" t="n">
        <f aca="false">IF($A26="","",'Monthly Actuals'!L26)</f>
        <v>0</v>
      </c>
      <c r="J26" s="114" t="n">
        <f aca="false">IF($A26="","",'Monthly Actuals'!M26)</f>
        <v>0</v>
      </c>
      <c r="K26" s="114" t="n">
        <f aca="false">IF($A26="","",'Monthly Actuals'!N26)</f>
        <v>0</v>
      </c>
      <c r="L26" s="114" t="n">
        <f aca="false">IF($A26="","",'Monthly Actuals'!O26)</f>
        <v>0</v>
      </c>
      <c r="M26" s="114" t="n">
        <f aca="false">IF($A26="","",'Monthly Actuals'!P26)</f>
        <v>0</v>
      </c>
      <c r="N26" s="114" t="n">
        <f aca="false">IF($A26="","",'Monthly Actuals'!Q26)</f>
        <v>0</v>
      </c>
      <c r="O26" s="147" t="n">
        <f aca="false">IF(A26="","",SUM(C26:N26))</f>
        <v>0</v>
      </c>
      <c r="P26" s="147" t="n">
        <f aca="false">IF(A26="","",B26*12)</f>
        <v>0</v>
      </c>
      <c r="Q26" s="199" t="n">
        <f aca="false">IF(A26="","",O26-P26)</f>
        <v>0</v>
      </c>
    </row>
    <row r="27" customFormat="false" ht="15" hidden="false" customHeight="false" outlineLevel="0" collapsed="false">
      <c r="A27" s="154" t="str">
        <f aca="false">'Monthly Actuals'!A27</f>
        <v>Family support (sent abroad)</v>
      </c>
      <c r="B27" s="114" t="n">
        <f aca="false">IF(A27="","",'Monthly Actuals'!B27)</f>
        <v>0</v>
      </c>
      <c r="C27" s="114" t="n">
        <f aca="false">IF($A27="","",'Monthly Actuals'!F27)</f>
        <v>0</v>
      </c>
      <c r="D27" s="114" t="n">
        <f aca="false">IF($A27="","",'Monthly Actuals'!G27)</f>
        <v>0</v>
      </c>
      <c r="E27" s="114" t="n">
        <f aca="false">IF($A27="","",'Monthly Actuals'!H27)</f>
        <v>0</v>
      </c>
      <c r="F27" s="114" t="n">
        <f aca="false">IF($A27="","",'Monthly Actuals'!I27)</f>
        <v>0</v>
      </c>
      <c r="G27" s="114" t="n">
        <f aca="false">IF($A27="","",'Monthly Actuals'!J27)</f>
        <v>0</v>
      </c>
      <c r="H27" s="114" t="n">
        <f aca="false">IF($A27="","",'Monthly Actuals'!K27)</f>
        <v>0</v>
      </c>
      <c r="I27" s="114" t="n">
        <f aca="false">IF($A27="","",'Monthly Actuals'!L27)</f>
        <v>0</v>
      </c>
      <c r="J27" s="114" t="n">
        <f aca="false">IF($A27="","",'Monthly Actuals'!M27)</f>
        <v>0</v>
      </c>
      <c r="K27" s="114" t="n">
        <f aca="false">IF($A27="","",'Monthly Actuals'!N27)</f>
        <v>0</v>
      </c>
      <c r="L27" s="114" t="n">
        <f aca="false">IF($A27="","",'Monthly Actuals'!O27)</f>
        <v>0</v>
      </c>
      <c r="M27" s="114" t="n">
        <f aca="false">IF($A27="","",'Monthly Actuals'!P27)</f>
        <v>0</v>
      </c>
      <c r="N27" s="114" t="n">
        <f aca="false">IF($A27="","",'Monthly Actuals'!Q27)</f>
        <v>0</v>
      </c>
      <c r="O27" s="147" t="n">
        <f aca="false">IF(A27="","",SUM(C27:N27))</f>
        <v>0</v>
      </c>
      <c r="P27" s="147" t="n">
        <f aca="false">IF(A27="","",B27*12)</f>
        <v>0</v>
      </c>
      <c r="Q27" s="199" t="n">
        <f aca="false">IF(A27="","",O27-P27)</f>
        <v>0</v>
      </c>
    </row>
    <row r="28" customFormat="false" ht="15" hidden="false" customHeight="false" outlineLevel="0" collapsed="false">
      <c r="A28" s="154" t="str">
        <f aca="false">'Monthly Actuals'!A28</f>
        <v>Pets</v>
      </c>
      <c r="B28" s="114" t="n">
        <f aca="false">IF(A28="","",'Monthly Actuals'!B28)</f>
        <v>0</v>
      </c>
      <c r="C28" s="114" t="n">
        <f aca="false">IF($A28="","",'Monthly Actuals'!F28)</f>
        <v>0</v>
      </c>
      <c r="D28" s="114" t="n">
        <f aca="false">IF($A28="","",'Monthly Actuals'!G28)</f>
        <v>0</v>
      </c>
      <c r="E28" s="114" t="n">
        <f aca="false">IF($A28="","",'Monthly Actuals'!H28)</f>
        <v>0</v>
      </c>
      <c r="F28" s="114" t="n">
        <f aca="false">IF($A28="","",'Monthly Actuals'!I28)</f>
        <v>0</v>
      </c>
      <c r="G28" s="114" t="n">
        <f aca="false">IF($A28="","",'Monthly Actuals'!J28)</f>
        <v>0</v>
      </c>
      <c r="H28" s="114" t="n">
        <f aca="false">IF($A28="","",'Monthly Actuals'!K28)</f>
        <v>0</v>
      </c>
      <c r="I28" s="114" t="n">
        <f aca="false">IF($A28="","",'Monthly Actuals'!L28)</f>
        <v>0</v>
      </c>
      <c r="J28" s="114" t="n">
        <f aca="false">IF($A28="","",'Monthly Actuals'!M28)</f>
        <v>0</v>
      </c>
      <c r="K28" s="114" t="n">
        <f aca="false">IF($A28="","",'Monthly Actuals'!N28)</f>
        <v>0</v>
      </c>
      <c r="L28" s="114" t="n">
        <f aca="false">IF($A28="","",'Monthly Actuals'!O28)</f>
        <v>0</v>
      </c>
      <c r="M28" s="114" t="n">
        <f aca="false">IF($A28="","",'Monthly Actuals'!P28)</f>
        <v>0</v>
      </c>
      <c r="N28" s="114" t="n">
        <f aca="false">IF($A28="","",'Monthly Actuals'!Q28)</f>
        <v>0</v>
      </c>
      <c r="O28" s="147" t="n">
        <f aca="false">IF(A28="","",SUM(C28:N28))</f>
        <v>0</v>
      </c>
      <c r="P28" s="147" t="n">
        <f aca="false">IF(A28="","",B28*12)</f>
        <v>0</v>
      </c>
      <c r="Q28" s="199" t="n">
        <f aca="false">IF(A28="","",O28-P28)</f>
        <v>0</v>
      </c>
    </row>
    <row r="29" customFormat="false" ht="15" hidden="false" customHeight="false" outlineLevel="0" collapsed="false">
      <c r="A29" s="154" t="str">
        <f aca="false">'Monthly Actuals'!A29</f>
        <v>Clothing &amp; shoes</v>
      </c>
      <c r="B29" s="114" t="n">
        <f aca="false">IF(A29="","",'Monthly Actuals'!B29)</f>
        <v>0</v>
      </c>
      <c r="C29" s="114" t="n">
        <f aca="false">IF($A29="","",'Monthly Actuals'!F29)</f>
        <v>0</v>
      </c>
      <c r="D29" s="114" t="n">
        <f aca="false">IF($A29="","",'Monthly Actuals'!G29)</f>
        <v>0</v>
      </c>
      <c r="E29" s="114" t="n">
        <f aca="false">IF($A29="","",'Monthly Actuals'!H29)</f>
        <v>0</v>
      </c>
      <c r="F29" s="114" t="n">
        <f aca="false">IF($A29="","",'Monthly Actuals'!I29)</f>
        <v>0</v>
      </c>
      <c r="G29" s="114" t="n">
        <f aca="false">IF($A29="","",'Monthly Actuals'!J29)</f>
        <v>0</v>
      </c>
      <c r="H29" s="114" t="n">
        <f aca="false">IF($A29="","",'Monthly Actuals'!K29)</f>
        <v>0</v>
      </c>
      <c r="I29" s="114" t="n">
        <f aca="false">IF($A29="","",'Monthly Actuals'!L29)</f>
        <v>0</v>
      </c>
      <c r="J29" s="114" t="n">
        <f aca="false">IF($A29="","",'Monthly Actuals'!M29)</f>
        <v>0</v>
      </c>
      <c r="K29" s="114" t="n">
        <f aca="false">IF($A29="","",'Monthly Actuals'!N29)</f>
        <v>0</v>
      </c>
      <c r="L29" s="114" t="n">
        <f aca="false">IF($A29="","",'Monthly Actuals'!O29)</f>
        <v>0</v>
      </c>
      <c r="M29" s="114" t="n">
        <f aca="false">IF($A29="","",'Monthly Actuals'!P29)</f>
        <v>0</v>
      </c>
      <c r="N29" s="114" t="n">
        <f aca="false">IF($A29="","",'Monthly Actuals'!Q29)</f>
        <v>0</v>
      </c>
      <c r="O29" s="147" t="n">
        <f aca="false">IF(A29="","",SUM(C29:N29))</f>
        <v>0</v>
      </c>
      <c r="P29" s="147" t="n">
        <f aca="false">IF(A29="","",B29*12)</f>
        <v>0</v>
      </c>
      <c r="Q29" s="199" t="n">
        <f aca="false">IF(A29="","",O29-P29)</f>
        <v>0</v>
      </c>
    </row>
    <row r="30" customFormat="false" ht="15" hidden="false" customHeight="false" outlineLevel="0" collapsed="false">
      <c r="A30" s="154" t="str">
        <f aca="false">'Monthly Actuals'!A30</f>
        <v>Entertainment &amp; hobbies</v>
      </c>
      <c r="B30" s="114" t="n">
        <f aca="false">IF(A30="","",'Monthly Actuals'!B30)</f>
        <v>0</v>
      </c>
      <c r="C30" s="114" t="n">
        <f aca="false">IF($A30="","",'Monthly Actuals'!F30)</f>
        <v>0</v>
      </c>
      <c r="D30" s="114" t="n">
        <f aca="false">IF($A30="","",'Monthly Actuals'!G30)</f>
        <v>0</v>
      </c>
      <c r="E30" s="114" t="n">
        <f aca="false">IF($A30="","",'Monthly Actuals'!H30)</f>
        <v>0</v>
      </c>
      <c r="F30" s="114" t="n">
        <f aca="false">IF($A30="","",'Monthly Actuals'!I30)</f>
        <v>0</v>
      </c>
      <c r="G30" s="114" t="n">
        <f aca="false">IF($A30="","",'Monthly Actuals'!J30)</f>
        <v>0</v>
      </c>
      <c r="H30" s="114" t="n">
        <f aca="false">IF($A30="","",'Monthly Actuals'!K30)</f>
        <v>0</v>
      </c>
      <c r="I30" s="114" t="n">
        <f aca="false">IF($A30="","",'Monthly Actuals'!L30)</f>
        <v>0</v>
      </c>
      <c r="J30" s="114" t="n">
        <f aca="false">IF($A30="","",'Monthly Actuals'!M30)</f>
        <v>0</v>
      </c>
      <c r="K30" s="114" t="n">
        <f aca="false">IF($A30="","",'Monthly Actuals'!N30)</f>
        <v>0</v>
      </c>
      <c r="L30" s="114" t="n">
        <f aca="false">IF($A30="","",'Monthly Actuals'!O30)</f>
        <v>0</v>
      </c>
      <c r="M30" s="114" t="n">
        <f aca="false">IF($A30="","",'Monthly Actuals'!P30)</f>
        <v>0</v>
      </c>
      <c r="N30" s="114" t="n">
        <f aca="false">IF($A30="","",'Monthly Actuals'!Q30)</f>
        <v>0</v>
      </c>
      <c r="O30" s="147" t="n">
        <f aca="false">IF(A30="","",SUM(C30:N30))</f>
        <v>0</v>
      </c>
      <c r="P30" s="147" t="n">
        <f aca="false">IF(A30="","",B30*12)</f>
        <v>0</v>
      </c>
      <c r="Q30" s="199" t="n">
        <f aca="false">IF(A30="","",O30-P30)</f>
        <v>0</v>
      </c>
    </row>
    <row r="31" customFormat="false" ht="15" hidden="false" customHeight="false" outlineLevel="0" collapsed="false">
      <c r="A31" s="154" t="str">
        <f aca="false">'Monthly Actuals'!A31</f>
        <v>Gifts</v>
      </c>
      <c r="B31" s="114" t="n">
        <f aca="false">IF(A31="","",'Monthly Actuals'!B31)</f>
        <v>0</v>
      </c>
      <c r="C31" s="114" t="n">
        <f aca="false">IF($A31="","",'Monthly Actuals'!F31)</f>
        <v>0</v>
      </c>
      <c r="D31" s="114" t="n">
        <f aca="false">IF($A31="","",'Monthly Actuals'!G31)</f>
        <v>0</v>
      </c>
      <c r="E31" s="114" t="n">
        <f aca="false">IF($A31="","",'Monthly Actuals'!H31)</f>
        <v>0</v>
      </c>
      <c r="F31" s="114" t="n">
        <f aca="false">IF($A31="","",'Monthly Actuals'!I31)</f>
        <v>0</v>
      </c>
      <c r="G31" s="114" t="n">
        <f aca="false">IF($A31="","",'Monthly Actuals'!J31)</f>
        <v>0</v>
      </c>
      <c r="H31" s="114" t="n">
        <f aca="false">IF($A31="","",'Monthly Actuals'!K31)</f>
        <v>0</v>
      </c>
      <c r="I31" s="114" t="n">
        <f aca="false">IF($A31="","",'Monthly Actuals'!L31)</f>
        <v>0</v>
      </c>
      <c r="J31" s="114" t="n">
        <f aca="false">IF($A31="","",'Monthly Actuals'!M31)</f>
        <v>0</v>
      </c>
      <c r="K31" s="114" t="n">
        <f aca="false">IF($A31="","",'Monthly Actuals'!N31)</f>
        <v>0</v>
      </c>
      <c r="L31" s="114" t="n">
        <f aca="false">IF($A31="","",'Monthly Actuals'!O31)</f>
        <v>0</v>
      </c>
      <c r="M31" s="114" t="n">
        <f aca="false">IF($A31="","",'Monthly Actuals'!P31)</f>
        <v>0</v>
      </c>
      <c r="N31" s="114" t="n">
        <f aca="false">IF($A31="","",'Monthly Actuals'!Q31)</f>
        <v>0</v>
      </c>
      <c r="O31" s="147" t="n">
        <f aca="false">IF(A31="","",SUM(C31:N31))</f>
        <v>0</v>
      </c>
      <c r="P31" s="147" t="n">
        <f aca="false">IF(A31="","",B31*12)</f>
        <v>0</v>
      </c>
      <c r="Q31" s="199" t="n">
        <f aca="false">IF(A31="","",O31-P31)</f>
        <v>0</v>
      </c>
    </row>
    <row r="32" customFormat="false" ht="15" hidden="false" customHeight="false" outlineLevel="0" collapsed="false">
      <c r="A32" s="154" t="str">
        <f aca="false">'Monthly Actuals'!A32</f>
        <v>Credit-card payment</v>
      </c>
      <c r="B32" s="114" t="n">
        <f aca="false">IF(A32="","",'Monthly Actuals'!B32)</f>
        <v>0</v>
      </c>
      <c r="C32" s="114" t="n">
        <f aca="false">IF($A32="","",'Monthly Actuals'!F32)</f>
        <v>0</v>
      </c>
      <c r="D32" s="114" t="n">
        <f aca="false">IF($A32="","",'Monthly Actuals'!G32)</f>
        <v>0</v>
      </c>
      <c r="E32" s="114" t="n">
        <f aca="false">IF($A32="","",'Monthly Actuals'!H32)</f>
        <v>0</v>
      </c>
      <c r="F32" s="114" t="n">
        <f aca="false">IF($A32="","",'Monthly Actuals'!I32)</f>
        <v>0</v>
      </c>
      <c r="G32" s="114" t="n">
        <f aca="false">IF($A32="","",'Monthly Actuals'!J32)</f>
        <v>0</v>
      </c>
      <c r="H32" s="114" t="n">
        <f aca="false">IF($A32="","",'Monthly Actuals'!K32)</f>
        <v>0</v>
      </c>
      <c r="I32" s="114" t="n">
        <f aca="false">IF($A32="","",'Monthly Actuals'!L32)</f>
        <v>0</v>
      </c>
      <c r="J32" s="114" t="n">
        <f aca="false">IF($A32="","",'Monthly Actuals'!M32)</f>
        <v>0</v>
      </c>
      <c r="K32" s="114" t="n">
        <f aca="false">IF($A32="","",'Monthly Actuals'!N32)</f>
        <v>0</v>
      </c>
      <c r="L32" s="114" t="n">
        <f aca="false">IF($A32="","",'Monthly Actuals'!O32)</f>
        <v>0</v>
      </c>
      <c r="M32" s="114" t="n">
        <f aca="false">IF($A32="","",'Monthly Actuals'!P32)</f>
        <v>0</v>
      </c>
      <c r="N32" s="114" t="n">
        <f aca="false">IF($A32="","",'Monthly Actuals'!Q32)</f>
        <v>0</v>
      </c>
      <c r="O32" s="147" t="n">
        <f aca="false">IF(A32="","",SUM(C32:N32))</f>
        <v>0</v>
      </c>
      <c r="P32" s="147" t="n">
        <f aca="false">IF(A32="","",B32*12)</f>
        <v>0</v>
      </c>
      <c r="Q32" s="199" t="n">
        <f aca="false">IF(A32="","",O32-P32)</f>
        <v>0</v>
      </c>
    </row>
    <row r="33" customFormat="false" ht="15" hidden="false" customHeight="false" outlineLevel="0" collapsed="false">
      <c r="A33" s="154" t="str">
        <f aca="false">'Monthly Actuals'!A33</f>
        <v>Student loan</v>
      </c>
      <c r="B33" s="114" t="n">
        <f aca="false">IF(A33="","",'Monthly Actuals'!B33)</f>
        <v>0</v>
      </c>
      <c r="C33" s="114" t="n">
        <f aca="false">IF($A33="","",'Monthly Actuals'!F33)</f>
        <v>0</v>
      </c>
      <c r="D33" s="114" t="n">
        <f aca="false">IF($A33="","",'Monthly Actuals'!G33)</f>
        <v>0</v>
      </c>
      <c r="E33" s="114" t="n">
        <f aca="false">IF($A33="","",'Monthly Actuals'!H33)</f>
        <v>0</v>
      </c>
      <c r="F33" s="114" t="n">
        <f aca="false">IF($A33="","",'Monthly Actuals'!I33)</f>
        <v>0</v>
      </c>
      <c r="G33" s="114" t="n">
        <f aca="false">IF($A33="","",'Monthly Actuals'!J33)</f>
        <v>0</v>
      </c>
      <c r="H33" s="114" t="n">
        <f aca="false">IF($A33="","",'Monthly Actuals'!K33)</f>
        <v>0</v>
      </c>
      <c r="I33" s="114" t="n">
        <f aca="false">IF($A33="","",'Monthly Actuals'!L33)</f>
        <v>0</v>
      </c>
      <c r="J33" s="114" t="n">
        <f aca="false">IF($A33="","",'Monthly Actuals'!M33)</f>
        <v>0</v>
      </c>
      <c r="K33" s="114" t="n">
        <f aca="false">IF($A33="","",'Monthly Actuals'!N33)</f>
        <v>0</v>
      </c>
      <c r="L33" s="114" t="n">
        <f aca="false">IF($A33="","",'Monthly Actuals'!O33)</f>
        <v>0</v>
      </c>
      <c r="M33" s="114" t="n">
        <f aca="false">IF($A33="","",'Monthly Actuals'!P33)</f>
        <v>0</v>
      </c>
      <c r="N33" s="114" t="n">
        <f aca="false">IF($A33="","",'Monthly Actuals'!Q33)</f>
        <v>0</v>
      </c>
      <c r="O33" s="147" t="n">
        <f aca="false">IF(A33="","",SUM(C33:N33))</f>
        <v>0</v>
      </c>
      <c r="P33" s="147" t="n">
        <f aca="false">IF(A33="","",B33*12)</f>
        <v>0</v>
      </c>
      <c r="Q33" s="199" t="n">
        <f aca="false">IF(A33="","",O33-P33)</f>
        <v>0</v>
      </c>
    </row>
    <row r="34" customFormat="false" ht="15" hidden="false" customHeight="false" outlineLevel="0" collapsed="false">
      <c r="A34" s="154" t="str">
        <f aca="false">'Monthly Actuals'!A34</f>
        <v>Unplanned / other</v>
      </c>
      <c r="B34" s="114" t="n">
        <f aca="false">IF(A34="","",'Monthly Actuals'!B34)</f>
        <v>0</v>
      </c>
      <c r="C34" s="114" t="n">
        <f aca="false">IF($A34="","",'Monthly Actuals'!F34)</f>
        <v>0</v>
      </c>
      <c r="D34" s="114" t="n">
        <f aca="false">IF($A34="","",'Monthly Actuals'!G34)</f>
        <v>0</v>
      </c>
      <c r="E34" s="114" t="n">
        <f aca="false">IF($A34="","",'Monthly Actuals'!H34)</f>
        <v>0</v>
      </c>
      <c r="F34" s="114" t="n">
        <f aca="false">IF($A34="","",'Monthly Actuals'!I34)</f>
        <v>0</v>
      </c>
      <c r="G34" s="114" t="n">
        <f aca="false">IF($A34="","",'Monthly Actuals'!J34)</f>
        <v>0</v>
      </c>
      <c r="H34" s="114" t="n">
        <f aca="false">IF($A34="","",'Monthly Actuals'!K34)</f>
        <v>0</v>
      </c>
      <c r="I34" s="114" t="n">
        <f aca="false">IF($A34="","",'Monthly Actuals'!L34)</f>
        <v>0</v>
      </c>
      <c r="J34" s="114" t="n">
        <f aca="false">IF($A34="","",'Monthly Actuals'!M34)</f>
        <v>0</v>
      </c>
      <c r="K34" s="114" t="n">
        <f aca="false">IF($A34="","",'Monthly Actuals'!N34)</f>
        <v>0</v>
      </c>
      <c r="L34" s="114" t="n">
        <f aca="false">IF($A34="","",'Monthly Actuals'!O34)</f>
        <v>0</v>
      </c>
      <c r="M34" s="114" t="n">
        <f aca="false">IF($A34="","",'Monthly Actuals'!P34)</f>
        <v>0</v>
      </c>
      <c r="N34" s="114" t="n">
        <f aca="false">IF($A34="","",'Monthly Actuals'!Q34)</f>
        <v>0</v>
      </c>
      <c r="O34" s="147" t="n">
        <f aca="false">IF(A34="","",SUM(C34:N34))</f>
        <v>0</v>
      </c>
      <c r="P34" s="147" t="n">
        <f aca="false">IF(A34="","",B34*12)</f>
        <v>0</v>
      </c>
      <c r="Q34" s="199" t="n">
        <f aca="false">IF(A34="","",O34-P34)</f>
        <v>0</v>
      </c>
    </row>
    <row r="35" customFormat="false" ht="15" hidden="false" customHeight="false" outlineLevel="0" collapsed="false">
      <c r="A35" s="150" t="s">
        <v>1107</v>
      </c>
      <c r="C35" s="114" t="n">
        <f aca="false">'Monthly Actuals'!F35</f>
        <v>0</v>
      </c>
      <c r="D35" s="114" t="n">
        <f aca="false">'Monthly Actuals'!G35</f>
        <v>0</v>
      </c>
      <c r="E35" s="114" t="n">
        <f aca="false">'Monthly Actuals'!H35</f>
        <v>0</v>
      </c>
      <c r="F35" s="114" t="n">
        <f aca="false">'Monthly Actuals'!I35</f>
        <v>0</v>
      </c>
      <c r="G35" s="114" t="n">
        <f aca="false">'Monthly Actuals'!J35</f>
        <v>0</v>
      </c>
      <c r="H35" s="114" t="n">
        <f aca="false">'Monthly Actuals'!K35</f>
        <v>0</v>
      </c>
      <c r="I35" s="114" t="n">
        <f aca="false">'Monthly Actuals'!L35</f>
        <v>0</v>
      </c>
      <c r="J35" s="114" t="n">
        <f aca="false">'Monthly Actuals'!M35</f>
        <v>0</v>
      </c>
      <c r="K35" s="114" t="n">
        <f aca="false">'Monthly Actuals'!N35</f>
        <v>0</v>
      </c>
      <c r="L35" s="114" t="n">
        <f aca="false">'Monthly Actuals'!O35</f>
        <v>0</v>
      </c>
      <c r="M35" s="114" t="n">
        <f aca="false">'Monthly Actuals'!P35</f>
        <v>0</v>
      </c>
      <c r="N35" s="114" t="n">
        <f aca="false">'Monthly Actuals'!Q35</f>
        <v>0</v>
      </c>
      <c r="O35" s="147" t="n">
        <f aca="false">SUM(C35:N35)</f>
        <v>0</v>
      </c>
    </row>
    <row r="36" customFormat="false" ht="15" hidden="false" customHeight="false" outlineLevel="0" collapsed="false">
      <c r="A36" s="151" t="s">
        <v>723</v>
      </c>
      <c r="B36" s="152" t="n">
        <f aca="false">SUM(B5:B34)</f>
        <v>0</v>
      </c>
      <c r="C36" s="152" t="n">
        <f aca="false">SUM(C5:C35)</f>
        <v>86.42</v>
      </c>
      <c r="D36" s="152" t="n">
        <f aca="false">SUM(D5:D35)</f>
        <v>0</v>
      </c>
      <c r="E36" s="152" t="n">
        <f aca="false">SUM(E5:E35)</f>
        <v>0</v>
      </c>
      <c r="F36" s="152" t="n">
        <f aca="false">SUM(F5:F35)</f>
        <v>0</v>
      </c>
      <c r="G36" s="152" t="n">
        <f aca="false">SUM(G5:G35)</f>
        <v>0</v>
      </c>
      <c r="H36" s="152" t="n">
        <f aca="false">SUM(H5:H35)</f>
        <v>0</v>
      </c>
      <c r="I36" s="152" t="n">
        <f aca="false">SUM(I5:I35)</f>
        <v>0</v>
      </c>
      <c r="J36" s="152" t="n">
        <f aca="false">SUM(J5:J35)</f>
        <v>0</v>
      </c>
      <c r="K36" s="152" t="n">
        <f aca="false">SUM(K5:K35)</f>
        <v>0</v>
      </c>
      <c r="L36" s="152" t="n">
        <f aca="false">SUM(L5:L35)</f>
        <v>0</v>
      </c>
      <c r="M36" s="152" t="n">
        <f aca="false">SUM(M5:M35)</f>
        <v>0</v>
      </c>
      <c r="N36" s="152" t="n">
        <f aca="false">SUM(N5:N35)</f>
        <v>0</v>
      </c>
      <c r="O36" s="152" t="n">
        <f aca="false">SUM(O5:O35)</f>
        <v>86.42</v>
      </c>
      <c r="P36" s="152" t="n">
        <f aca="false">SUM(P5:P34)</f>
        <v>0</v>
      </c>
      <c r="Q36" s="200" t="n">
        <f aca="false">O36-P36</f>
        <v>86.42</v>
      </c>
    </row>
  </sheetData>
  <sheetProtection sheet="true" scenarios="true" formatCells="false" formatColumns="false" formatRows="false" sort="false" autoFilter="false"/>
  <mergeCells count="8">
    <mergeCell ref="C2:E2"/>
    <mergeCell ref="F2:H2"/>
    <mergeCell ref="I2:K2"/>
    <mergeCell ref="L2:N2"/>
    <mergeCell ref="C3:E3"/>
    <mergeCell ref="F3:H3"/>
    <mergeCell ref="I3:K3"/>
    <mergeCell ref="L3:N3"/>
  </mergeCells>
  <conditionalFormatting sqref="A5:Q35">
    <cfRule type="expression" priority="2" aboveAverage="0" equalAverage="0" bottom="0" percent="0" rank="0" text="" dxfId="5">
      <formula>MOD(ROW(),2)=0</formula>
    </cfRule>
    <cfRule type="expression" priority="3" aboveAverage="0" equalAverage="0" bottom="0" percent="0" rank="0" text="" dxfId="35">
      <formula>$A5=""</formula>
    </cfRule>
  </conditionalFormatting>
  <conditionalFormatting sqref="O5:O34">
    <cfRule type="dataBar" priority="4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{B0906AE5-D0C5-404E-9FAD-3B44C03CC9DB}</x14:id>
        </ext>
      </extLst>
    </cfRule>
  </conditionalFormatting>
  <conditionalFormatting sqref="Q5:Q34">
    <cfRule type="cellIs" priority="5" operator="greaterThan" aboveAverage="0" equalAverage="0" bottom="0" percent="0" rank="0" text="" dxfId="7">
      <formula>0</formula>
    </cfRule>
  </conditionalFormatting>
  <conditionalFormatting sqref="C5:N35">
    <cfRule type="expression" priority="6" aboveAverage="0" equalAverage="0" bottom="0" percent="0" rank="0" text="" dxfId="17">
      <formula>AND(C5&lt;&gt;"",C5&gt;$B5,$B5&gt;0)</formula>
    </cfRule>
  </conditionalFormatting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Household plan · Year View&amp;R&amp;8 Page &amp;P of &amp;N · printed &amp;D</oddFooter>
  </headerFooter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906AE5-D0C5-404E-9FAD-3B44C03CC9DB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O5:O34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4"/>
    <col collapsed="false" customWidth="true" hidden="false" outlineLevel="0" max="6" min="5" style="0" width="13"/>
    <col collapsed="false" customWidth="true" hidden="false" outlineLevel="0" max="7" min="7" style="0" width="3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27</v>
      </c>
    </row>
    <row r="3" customFormat="false" ht="15" hidden="false" customHeight="false" outlineLevel="0" collapsed="false">
      <c r="A3" s="174" t="s">
        <v>1251</v>
      </c>
      <c r="B3" s="186" t="n">
        <f aca="true">DATE(YEAR(TODAY()),MONTH(TODAY()),1)</f>
        <v>46296</v>
      </c>
    </row>
    <row r="5" customFormat="false" ht="18.75" hidden="false" customHeight="true" outlineLevel="0" collapsed="false">
      <c r="A5" s="56" t="str">
        <f aca="false">"1 · MONTH IN REVIEW — "&amp;UPPER(TEXT($B$3,"mmmm yyyy"))</f>
        <v>1 · MONTH IN REVIEW — OCTOBER 2026</v>
      </c>
      <c r="B5" s="3"/>
      <c r="C5" s="3"/>
      <c r="D5" s="3"/>
      <c r="E5" s="3"/>
      <c r="F5" s="3"/>
      <c r="G5" s="3"/>
    </row>
    <row r="6" customFormat="false" ht="12.75" hidden="false" customHeight="true" outlineLevel="0" collapsed="false">
      <c r="A6" s="139" t="s">
        <v>1252</v>
      </c>
      <c r="B6" s="139"/>
      <c r="C6" s="139" t="s">
        <v>1253</v>
      </c>
      <c r="D6" s="139"/>
      <c r="E6" s="139" t="s">
        <v>1254</v>
      </c>
      <c r="F6" s="139"/>
      <c r="G6" s="139" t="s">
        <v>858</v>
      </c>
    </row>
    <row r="7" customFormat="false" ht="24" hidden="false" customHeight="true" outlineLevel="0" collapsed="false">
      <c r="A7" s="201" t="n">
        <f aca="false">IFERROR(INDEX('Monthly Actuals'!$F$36:$Y$36,MATCH(Reports!$B$3,'Monthly Actuals'!$F$4:$Y$4,0)),0)</f>
        <v>86.42</v>
      </c>
      <c r="B7" s="201"/>
      <c r="C7" s="201" t="str">
        <f aca="false">IF(IFERROR(INDEX(Snapshots!$C$5:$C$44,MATCH(Reports!$B$3,Snapshots!$B$5:$B$44,0)),"")="","no snapshot",IFERROR(INDEX(Snapshots!$C$5:$C$44,MATCH(Reports!$B$3,Snapshots!$B$5:$B$44,0)),""))</f>
        <v>no snapshot</v>
      </c>
      <c r="D7" s="201"/>
      <c r="E7" s="201" t="n">
        <f aca="false">IF(IFERROR(INDEX(Snapshots!$D$5:$D$44,MATCH(Reports!$B$3,Snapshots!$B$5:$B$44,0)),"")="",'Debts &amp; Credit'!$D$28,IFERROR(INDEX(Snapshots!$D$5:$D$44,MATCH(Reports!$B$3,Snapshots!$B$5:$B$44,0)),""))</f>
        <v>0</v>
      </c>
      <c r="F7" s="201"/>
      <c r="G7" s="201" t="n">
        <f aca="false">IF(IFERROR(INDEX(Snapshots!$G$5:$G$44,MATCH(Reports!$B$3,Snapshots!$B$5:$B$44,0)),"")="",Accounts!$D$33,IFERROR(INDEX(Snapshots!$G$5:$G$44,MATCH(Reports!$B$3,Snapshots!$B$5:$B$44,0)),""))</f>
        <v>0</v>
      </c>
    </row>
    <row r="8" customFormat="false" ht="12.75" hidden="false" customHeight="true" outlineLevel="0" collapsed="false">
      <c r="A8" s="202" t="str">
        <f aca="false">"of "&amp;TEXT(Budget!$C$38,"#,##0")&amp;" budget  ·  "&amp;TEXT(IFERROR(IFERROR(INDEX('Monthly Actuals'!$F$36:$Y$36,MATCH(Reports!$B$3,'Monthly Actuals'!$F$4:$Y$4,0)),0)/Budget!$C$38,0),"0%")</f>
        <v>of 0 budget  ·  0%</v>
      </c>
      <c r="B8" s="202"/>
      <c r="C8" s="202" t="str">
        <f aca="false">IF(OR(IFERROR(INDEX(Snapshots!$C$5:$C$44,MATCH(Reports!$B$3,Snapshots!$B$5:$B$44,0)),"")="",IFERROR(INDEX(Snapshots!$C$5:$C$44,MATCH(EDATE(Reports!$B$3,-1),Snapshots!$B$5:$B$44,0)),"")=""),"take the snapshot to compare",IF(IFERROR(INDEX(Snapshots!$C$5:$C$44,MATCH(Reports!$B$3,Snapshots!$B$5:$B$44,0)),"")-IFERROR(INDEX(Snapshots!$C$5:$C$44,MATCH(EDATE(Reports!$B$3,-1),Snapshots!$B$5:$B$44,0)),"")&gt;=0,"+","−")&amp;TEXT(ABS(IFERROR(INDEX(Snapshots!$C$5:$C$44,MATCH(Reports!$B$3,Snapshots!$B$5:$B$44,0)),"")-IFERROR(INDEX(Snapshots!$C$5:$C$44,MATCH(EDATE(Reports!$B$3,-1),Snapshots!$B$5:$B$44,0)),"")),"#,##0")&amp;" vs last month")</f>
        <v>take the snapshot to compare</v>
      </c>
      <c r="D8" s="202"/>
      <c r="E8" s="202" t="str">
        <f aca="false">IF(OR(IFERROR(INDEX(Snapshots!$D$5:$D$44,MATCH(Reports!$B$3,Snapshots!$B$5:$B$44,0)),"")="",IFERROR(INDEX(Snapshots!$D$5:$D$44,MATCH(EDATE(Reports!$B$3,-1),Snapshots!$B$5:$B$44,0)),"")=""),"live balance",IF(IFERROR(INDEX(Snapshots!$D$5:$D$44,MATCH(Reports!$B$3,Snapshots!$B$5:$B$44,0)),"")-IFERROR(INDEX(Snapshots!$D$5:$D$44,MATCH(EDATE(Reports!$B$3,-1),Snapshots!$B$5:$B$44,0)),"")&lt;=0,"▼ ","▲ ")&amp;TEXT(ABS(IFERROR(INDEX(Snapshots!$D$5:$D$44,MATCH(Reports!$B$3,Snapshots!$B$5:$B$44,0)),"")-IFERROR(INDEX(Snapshots!$D$5:$D$44,MATCH(EDATE(Reports!$B$3,-1),Snapshots!$B$5:$B$44,0)),"")),"#,##0")&amp;" vs last month")</f>
        <v>live balance</v>
      </c>
      <c r="F8" s="202"/>
      <c r="G8" s="202" t="str">
        <f aca="false">IF(IFERROR(INDEX(Forecast!$C$53:$V$53,MATCH(Reports!$B$3,Forecast!$C$3:$V$3,0)),"")="","","plan cash: "&amp;TEXT(IFERROR(INDEX(Forecast!$C$53:$V$53,MATCH(Reports!$B$3,Forecast!$C$3:$V$3,0)),""),"#,##0"))</f>
        <v>plan cash: 0</v>
      </c>
    </row>
    <row r="10" customFormat="false" ht="19.5" hidden="false" customHeight="true" outlineLevel="0" collapsed="false">
      <c r="A10" s="107" t="s">
        <v>1255</v>
      </c>
      <c r="B10" s="107" t="s">
        <v>1256</v>
      </c>
      <c r="C10" s="107" t="s">
        <v>23</v>
      </c>
      <c r="D10" s="107" t="s">
        <v>1106</v>
      </c>
      <c r="E10" s="107" t="s">
        <v>1257</v>
      </c>
      <c r="F10" s="107"/>
      <c r="G10" s="107"/>
    </row>
    <row r="11" customFormat="false" ht="15" hidden="false" customHeight="false" outlineLevel="0" collapsed="false">
      <c r="A11" s="154" t="str">
        <f aca="false">IFERROR(IF(LARGE(INDEX('Monthly Actuals'!$F$5:$Y$35,0,MATCH(Reports!$B$3,'Monthly Actuals'!$F$4:$Y$4,0)),1)=0,"",INDEX('Monthly Actuals'!$A$5:$A$35,MATCH(LARGE(INDEX('Monthly Actuals'!$F$5:$Y$35,0,MATCH(Reports!$B$3,'Monthly Actuals'!$F$4:$Y$4,0)),1),INDEX('Monthly Actuals'!$F$5:$Y$35,0,MATCH(Reports!$B$3,'Monthly Actuals'!$F$4:$Y$4,0)),0))),"")</f>
        <v>Groceries &amp; household</v>
      </c>
      <c r="B11" s="114" t="n">
        <f aca="false">IFERROR(LARGE(INDEX('Monthly Actuals'!$F$5:$Y$35,0,MATCH(Reports!$B$3,'Monthly Actuals'!$F$4:$Y$4,0)),1),0)</f>
        <v>86.42</v>
      </c>
      <c r="C11" s="114" t="n">
        <f aca="false">IF(A11="","",IFERROR(INDEX('Monthly Actuals'!$B$5:$B$35,MATCH(A11,'Monthly Actuals'!$A$5:$A$35,0)),0))</f>
        <v>0</v>
      </c>
      <c r="D11" s="199" t="n">
        <f aca="false">IF(A11="","",B11-C11)</f>
        <v>86.42</v>
      </c>
      <c r="E11" s="146" t="str">
        <f aca="false">IF(OR(A11="",C11=0),"",B11/C11)</f>
        <v/>
      </c>
      <c r="F11" s="156" t="str">
        <f aca="false">IF(A11="","",IF(C11=0,"no budget",IF(B11&gt;C11,"over","ok")))</f>
        <v>no budget</v>
      </c>
    </row>
    <row r="12" customFormat="false" ht="15" hidden="false" customHeight="false" outlineLevel="0" collapsed="false">
      <c r="A12" s="154" t="str">
        <f aca="false">IFERROR(IF(LARGE(INDEX('Monthly Actuals'!$F$5:$Y$35,0,MATCH(Reports!$B$3,'Monthly Actuals'!$F$4:$Y$4,0)),2)=0,"",INDEX('Monthly Actuals'!$A$5:$A$35,MATCH(LARGE(INDEX('Monthly Actuals'!$F$5:$Y$35,0,MATCH(Reports!$B$3,'Monthly Actuals'!$F$4:$Y$4,0)),2),INDEX('Monthly Actuals'!$F$5:$Y$35,0,MATCH(Reports!$B$3,'Monthly Actuals'!$F$4:$Y$4,0)),0))),"")</f>
        <v/>
      </c>
      <c r="B12" s="114" t="n">
        <f aca="false">IFERROR(LARGE(INDEX('Monthly Actuals'!$F$5:$Y$35,0,MATCH(Reports!$B$3,'Monthly Actuals'!$F$4:$Y$4,0)),2),0)</f>
        <v>0</v>
      </c>
      <c r="C12" s="114" t="str">
        <f aca="false">IF(A12="","",IFERROR(INDEX('Monthly Actuals'!$B$5:$B$35,MATCH(A12,'Monthly Actuals'!$A$5:$A$35,0)),0))</f>
        <v/>
      </c>
      <c r="D12" s="199" t="str">
        <f aca="false">IF(A12="","",B12-C12)</f>
        <v/>
      </c>
      <c r="E12" s="146" t="str">
        <f aca="false">IF(OR(A12="",C12=0),"",B12/C12)</f>
        <v/>
      </c>
      <c r="F12" s="156" t="str">
        <f aca="false">IF(A12="","",IF(C12=0,"no budget",IF(B12&gt;C12,"over","ok")))</f>
        <v/>
      </c>
    </row>
    <row r="13" customFormat="false" ht="15" hidden="false" customHeight="false" outlineLevel="0" collapsed="false">
      <c r="A13" s="154" t="str">
        <f aca="false">IFERROR(IF(LARGE(INDEX('Monthly Actuals'!$F$5:$Y$35,0,MATCH(Reports!$B$3,'Monthly Actuals'!$F$4:$Y$4,0)),3)=0,"",INDEX('Monthly Actuals'!$A$5:$A$35,MATCH(LARGE(INDEX('Monthly Actuals'!$F$5:$Y$35,0,MATCH(Reports!$B$3,'Monthly Actuals'!$F$4:$Y$4,0)),3),INDEX('Monthly Actuals'!$F$5:$Y$35,0,MATCH(Reports!$B$3,'Monthly Actuals'!$F$4:$Y$4,0)),0))),"")</f>
        <v/>
      </c>
      <c r="B13" s="114" t="n">
        <f aca="false">IFERROR(LARGE(INDEX('Monthly Actuals'!$F$5:$Y$35,0,MATCH(Reports!$B$3,'Monthly Actuals'!$F$4:$Y$4,0)),3),0)</f>
        <v>0</v>
      </c>
      <c r="C13" s="114" t="str">
        <f aca="false">IF(A13="","",IFERROR(INDEX('Monthly Actuals'!$B$5:$B$35,MATCH(A13,'Monthly Actuals'!$A$5:$A$35,0)),0))</f>
        <v/>
      </c>
      <c r="D13" s="199" t="str">
        <f aca="false">IF(A13="","",B13-C13)</f>
        <v/>
      </c>
      <c r="E13" s="146" t="str">
        <f aca="false">IF(OR(A13="",C13=0),"",B13/C13)</f>
        <v/>
      </c>
      <c r="F13" s="156" t="str">
        <f aca="false">IF(A13="","",IF(C13=0,"no budget",IF(B13&gt;C13,"over","ok")))</f>
        <v/>
      </c>
    </row>
    <row r="14" customFormat="false" ht="15" hidden="false" customHeight="false" outlineLevel="0" collapsed="false">
      <c r="A14" s="154" t="str">
        <f aca="false">IFERROR(IF(LARGE(INDEX('Monthly Actuals'!$F$5:$Y$35,0,MATCH(Reports!$B$3,'Monthly Actuals'!$F$4:$Y$4,0)),4)=0,"",INDEX('Monthly Actuals'!$A$5:$A$35,MATCH(LARGE(INDEX('Monthly Actuals'!$F$5:$Y$35,0,MATCH(Reports!$B$3,'Monthly Actuals'!$F$4:$Y$4,0)),4),INDEX('Monthly Actuals'!$F$5:$Y$35,0,MATCH(Reports!$B$3,'Monthly Actuals'!$F$4:$Y$4,0)),0))),"")</f>
        <v/>
      </c>
      <c r="B14" s="114" t="n">
        <f aca="false">IFERROR(LARGE(INDEX('Monthly Actuals'!$F$5:$Y$35,0,MATCH(Reports!$B$3,'Monthly Actuals'!$F$4:$Y$4,0)),4),0)</f>
        <v>0</v>
      </c>
      <c r="C14" s="114" t="str">
        <f aca="false">IF(A14="","",IFERROR(INDEX('Monthly Actuals'!$B$5:$B$35,MATCH(A14,'Monthly Actuals'!$A$5:$A$35,0)),0))</f>
        <v/>
      </c>
      <c r="D14" s="199" t="str">
        <f aca="false">IF(A14="","",B14-C14)</f>
        <v/>
      </c>
      <c r="E14" s="146" t="str">
        <f aca="false">IF(OR(A14="",C14=0),"",B14/C14)</f>
        <v/>
      </c>
      <c r="F14" s="156" t="str">
        <f aca="false">IF(A14="","",IF(C14=0,"no budget",IF(B14&gt;C14,"over","ok")))</f>
        <v/>
      </c>
    </row>
    <row r="15" customFormat="false" ht="15" hidden="false" customHeight="false" outlineLevel="0" collapsed="false">
      <c r="A15" s="154" t="str">
        <f aca="false">IFERROR(IF(LARGE(INDEX('Monthly Actuals'!$F$5:$Y$35,0,MATCH(Reports!$B$3,'Monthly Actuals'!$F$4:$Y$4,0)),5)=0,"",INDEX('Monthly Actuals'!$A$5:$A$35,MATCH(LARGE(INDEX('Monthly Actuals'!$F$5:$Y$35,0,MATCH(Reports!$B$3,'Monthly Actuals'!$F$4:$Y$4,0)),5),INDEX('Monthly Actuals'!$F$5:$Y$35,0,MATCH(Reports!$B$3,'Monthly Actuals'!$F$4:$Y$4,0)),0))),"")</f>
        <v/>
      </c>
      <c r="B15" s="114" t="n">
        <f aca="false">IFERROR(LARGE(INDEX('Monthly Actuals'!$F$5:$Y$35,0,MATCH(Reports!$B$3,'Monthly Actuals'!$F$4:$Y$4,0)),5),0)</f>
        <v>0</v>
      </c>
      <c r="C15" s="114" t="str">
        <f aca="false">IF(A15="","",IFERROR(INDEX('Monthly Actuals'!$B$5:$B$35,MATCH(A15,'Monthly Actuals'!$A$5:$A$35,0)),0))</f>
        <v/>
      </c>
      <c r="D15" s="199" t="str">
        <f aca="false">IF(A15="","",B15-C15)</f>
        <v/>
      </c>
      <c r="E15" s="146" t="str">
        <f aca="false">IF(OR(A15="",C15=0),"",B15/C15)</f>
        <v/>
      </c>
      <c r="F15" s="156" t="str">
        <f aca="false">IF(A15="","",IF(C15=0,"no budget",IF(B15&gt;C15,"over","ok")))</f>
        <v/>
      </c>
    </row>
    <row r="16" customFormat="false" ht="15" hidden="false" customHeight="false" outlineLevel="0" collapsed="false">
      <c r="A16" s="21" t="s">
        <v>1258</v>
      </c>
    </row>
    <row r="18" customFormat="false" ht="19.5" hidden="false" customHeight="true" outlineLevel="0" collapsed="false">
      <c r="A18" s="107" t="s">
        <v>1259</v>
      </c>
      <c r="B18" s="107" t="s">
        <v>1260</v>
      </c>
      <c r="C18" s="107" t="s">
        <v>1261</v>
      </c>
      <c r="D18" s="107"/>
      <c r="E18" s="107"/>
      <c r="F18" s="107"/>
      <c r="G18" s="107"/>
    </row>
    <row r="19" customFormat="false" ht="15" hidden="false" customHeight="false" outlineLevel="0" collapsed="false">
      <c r="A19" s="150" t="s">
        <v>1262</v>
      </c>
      <c r="B19" s="190" t="n">
        <f aca="false">COUNTIFS('Expense Log'!$H$5:$H$604,Reports!$B$3)</f>
        <v>1</v>
      </c>
      <c r="C19" s="156" t="str">
        <f aca="false">IF(B19=0,"nothing logged","ok")</f>
        <v>ok</v>
      </c>
    </row>
    <row r="20" customFormat="false" ht="15" hidden="false" customHeight="false" outlineLevel="0" collapsed="false">
      <c r="A20" s="150" t="s">
        <v>1263</v>
      </c>
      <c r="B20" s="190" t="n">
        <f aca="false">COUNTIF('Expense Log'!$F$5:$F$604,"Uncategorized")</f>
        <v>0</v>
      </c>
      <c r="C20" s="156" t="str">
        <f aca="false">IF(B20=0,"clean","fix")</f>
        <v>clean</v>
      </c>
    </row>
    <row r="21" customFormat="false" ht="15" hidden="false" customHeight="false" outlineLevel="0" collapsed="false">
      <c r="A21" s="150" t="s">
        <v>1264</v>
      </c>
      <c r="B21" s="190" t="n">
        <f aca="false">COUNTIFS('Action Plan'!$E$5:$E$19,"&lt;&gt;Done",'Action Plan'!$C$5:$C$19,"*"&amp;TEXT($B$3,"mmm yyyy")&amp;"*")</f>
        <v>4</v>
      </c>
      <c r="C21" s="156" t="str">
        <f aca="false">IF(B21=0,"clear","to do")</f>
        <v>to do</v>
      </c>
    </row>
    <row r="22" customFormat="false" ht="15" hidden="false" customHeight="false" outlineLevel="0" collapsed="false">
      <c r="A22" s="150" t="s">
        <v>1265</v>
      </c>
      <c r="B22" s="190" t="n">
        <f aca="false">COUNTIF('Action Plan'!$E$5:$E$19,"Done")</f>
        <v>0</v>
      </c>
      <c r="C22" s="156" t="str">
        <f aca="false">""</f>
        <v/>
      </c>
    </row>
    <row r="23" customFormat="false" ht="15" hidden="false" customHeight="false" outlineLevel="0" collapsed="false">
      <c r="A23" s="150" t="s">
        <v>1266</v>
      </c>
      <c r="B23" s="190" t="n">
        <f aca="false">COUNTIF(Snapshots!$B$5:$B$44,Reports!$B$3)</f>
        <v>0</v>
      </c>
      <c r="C23" s="156" t="str">
        <f aca="false">IF(B23&gt;0,"done","take it")</f>
        <v>take it</v>
      </c>
    </row>
    <row r="25" customFormat="false" ht="19.5" hidden="false" customHeight="true" outlineLevel="0" collapsed="false">
      <c r="A25" s="107" t="s">
        <v>1267</v>
      </c>
      <c r="B25" s="107" t="s">
        <v>1256</v>
      </c>
      <c r="C25" s="107" t="s">
        <v>23</v>
      </c>
      <c r="D25" s="107" t="s">
        <v>1106</v>
      </c>
      <c r="E25" s="107" t="s">
        <v>1257</v>
      </c>
      <c r="F25" s="107" t="s">
        <v>1261</v>
      </c>
      <c r="G25" s="107"/>
    </row>
    <row r="26" customFormat="false" ht="15" hidden="false" customHeight="false" outlineLevel="0" collapsed="false">
      <c r="A26" s="150" t="s">
        <v>237</v>
      </c>
      <c r="B26" s="114" t="n">
        <f aca="false">IFERROR(SUMIFS(INDEX('Monthly Actuals'!$F$5:$Y$34,0,MATCH(Reports!$B$3,'Monthly Actuals'!$F$4:$Y$4,0)),Budget!$I$5:$I$34,A26),0)</f>
        <v>0</v>
      </c>
      <c r="C26" s="114" t="n">
        <f aca="false">SUMIF(Budget!$I$5:$I$34,A26,Budget!$C$5:$C$34)</f>
        <v>0</v>
      </c>
      <c r="D26" s="199" t="n">
        <f aca="false">B26-C26</f>
        <v>0</v>
      </c>
      <c r="E26" s="146" t="str">
        <f aca="false">IF(C26=0,"",B26/C26)</f>
        <v/>
      </c>
      <c r="F26" s="156" t="str">
        <f aca="false">IF(C26=0,IF(B26&gt;0,"no budget",""),IF(B26&gt;C26,"over","ok"))</f>
        <v/>
      </c>
    </row>
    <row r="27" customFormat="false" ht="15" hidden="false" customHeight="false" outlineLevel="0" collapsed="false">
      <c r="A27" s="150" t="s">
        <v>254</v>
      </c>
      <c r="B27" s="114" t="n">
        <f aca="false">IFERROR(SUMIFS(INDEX('Monthly Actuals'!$F$5:$Y$34,0,MATCH(Reports!$B$3,'Monthly Actuals'!$F$4:$Y$4,0)),Budget!$I$5:$I$34,A27),0)</f>
        <v>0</v>
      </c>
      <c r="C27" s="114" t="n">
        <f aca="false">SUMIF(Budget!$I$5:$I$34,A27,Budget!$C$5:$C$34)</f>
        <v>0</v>
      </c>
      <c r="D27" s="199" t="n">
        <f aca="false">B27-C27</f>
        <v>0</v>
      </c>
      <c r="E27" s="146" t="str">
        <f aca="false">IF(C27=0,"",B27/C27)</f>
        <v/>
      </c>
      <c r="F27" s="156" t="str">
        <f aca="false">IF(C27=0,IF(B27&gt;0,"no budget",""),IF(B27&gt;C27,"over","ok"))</f>
        <v/>
      </c>
    </row>
    <row r="28" customFormat="false" ht="15" hidden="false" customHeight="false" outlineLevel="0" collapsed="false">
      <c r="A28" s="150" t="s">
        <v>263</v>
      </c>
      <c r="B28" s="114" t="n">
        <f aca="false">IFERROR(SUMIFS(INDEX('Monthly Actuals'!$F$5:$Y$34,0,MATCH(Reports!$B$3,'Monthly Actuals'!$F$4:$Y$4,0)),Budget!$I$5:$I$34,A28),0)</f>
        <v>0</v>
      </c>
      <c r="C28" s="114" t="n">
        <f aca="false">SUMIF(Budget!$I$5:$I$34,A28,Budget!$C$5:$C$34)</f>
        <v>0</v>
      </c>
      <c r="D28" s="199" t="n">
        <f aca="false">B28-C28</f>
        <v>0</v>
      </c>
      <c r="E28" s="146" t="str">
        <f aca="false">IF(C28=0,"",B28/C28)</f>
        <v/>
      </c>
      <c r="F28" s="156" t="str">
        <f aca="false">IF(C28=0,IF(B28&gt;0,"no budget",""),IF(B28&gt;C28,"over","ok"))</f>
        <v/>
      </c>
    </row>
    <row r="29" customFormat="false" ht="15" hidden="false" customHeight="false" outlineLevel="0" collapsed="false">
      <c r="A29" s="150" t="s">
        <v>272</v>
      </c>
      <c r="B29" s="114" t="n">
        <f aca="false">IFERROR(SUMIFS(INDEX('Monthly Actuals'!$F$5:$Y$34,0,MATCH(Reports!$B$3,'Monthly Actuals'!$F$4:$Y$4,0)),Budget!$I$5:$I$34,A29),0)</f>
        <v>86.42</v>
      </c>
      <c r="C29" s="114" t="n">
        <f aca="false">SUMIF(Budget!$I$5:$I$34,A29,Budget!$C$5:$C$34)</f>
        <v>0</v>
      </c>
      <c r="D29" s="199" t="n">
        <f aca="false">B29-C29</f>
        <v>86.42</v>
      </c>
      <c r="E29" s="146" t="str">
        <f aca="false">IF(C29=0,"",B29/C29)</f>
        <v/>
      </c>
      <c r="F29" s="156" t="str">
        <f aca="false">IF(C29=0,IF(B29&gt;0,"no budget",""),IF(B29&gt;C29,"over","ok"))</f>
        <v>no budget</v>
      </c>
    </row>
    <row r="30" customFormat="false" ht="15" hidden="false" customHeight="false" outlineLevel="0" collapsed="false">
      <c r="A30" s="150" t="s">
        <v>281</v>
      </c>
      <c r="B30" s="114" t="n">
        <f aca="false">IFERROR(SUMIFS(INDEX('Monthly Actuals'!$F$5:$Y$34,0,MATCH(Reports!$B$3,'Monthly Actuals'!$F$4:$Y$4,0)),Budget!$I$5:$I$34,A30),0)</f>
        <v>0</v>
      </c>
      <c r="C30" s="114" t="n">
        <f aca="false">SUMIF(Budget!$I$5:$I$34,A30,Budget!$C$5:$C$34)</f>
        <v>0</v>
      </c>
      <c r="D30" s="199" t="n">
        <f aca="false">B30-C30</f>
        <v>0</v>
      </c>
      <c r="E30" s="146" t="str">
        <f aca="false">IF(C30=0,"",B30/C30)</f>
        <v/>
      </c>
      <c r="F30" s="156" t="str">
        <f aca="false">IF(C30=0,IF(B30&gt;0,"no budget",""),IF(B30&gt;C30,"over","ok"))</f>
        <v/>
      </c>
    </row>
    <row r="31" customFormat="false" ht="15" hidden="false" customHeight="false" outlineLevel="0" collapsed="false">
      <c r="A31" s="150" t="s">
        <v>288</v>
      </c>
      <c r="B31" s="114" t="n">
        <f aca="false">IFERROR(SUMIFS(INDEX('Monthly Actuals'!$F$5:$Y$34,0,MATCH(Reports!$B$3,'Monthly Actuals'!$F$4:$Y$4,0)),Budget!$I$5:$I$34,A31),0)</f>
        <v>0</v>
      </c>
      <c r="C31" s="114" t="n">
        <f aca="false">SUMIF(Budget!$I$5:$I$34,A31,Budget!$C$5:$C$34)</f>
        <v>0</v>
      </c>
      <c r="D31" s="199" t="n">
        <f aca="false">B31-C31</f>
        <v>0</v>
      </c>
      <c r="E31" s="146" t="str">
        <f aca="false">IF(C31=0,"",B31/C31)</f>
        <v/>
      </c>
      <c r="F31" s="156" t="str">
        <f aca="false">IF(C31=0,IF(B31&gt;0,"no budget",""),IF(B31&gt;C31,"over","ok"))</f>
        <v/>
      </c>
    </row>
    <row r="32" customFormat="false" ht="15" hidden="false" customHeight="false" outlineLevel="0" collapsed="false">
      <c r="A32" s="150" t="s">
        <v>295</v>
      </c>
      <c r="B32" s="114" t="n">
        <f aca="false">IFERROR(SUMIFS(INDEX('Monthly Actuals'!$F$5:$Y$34,0,MATCH(Reports!$B$3,'Monthly Actuals'!$F$4:$Y$4,0)),Budget!$I$5:$I$34,A32),0)</f>
        <v>0</v>
      </c>
      <c r="C32" s="114" t="n">
        <f aca="false">SUMIF(Budget!$I$5:$I$34,A32,Budget!$C$5:$C$34)</f>
        <v>0</v>
      </c>
      <c r="D32" s="199" t="n">
        <f aca="false">B32-C32</f>
        <v>0</v>
      </c>
      <c r="E32" s="146" t="str">
        <f aca="false">IF(C32=0,"",B32/C32)</f>
        <v/>
      </c>
      <c r="F32" s="156" t="str">
        <f aca="false">IF(C32=0,IF(B32&gt;0,"no budget",""),IF(B32&gt;C32,"over","ok"))</f>
        <v/>
      </c>
    </row>
    <row r="33" customFormat="false" ht="15" hidden="false" customHeight="false" outlineLevel="0" collapsed="false">
      <c r="A33" s="150" t="s">
        <v>302</v>
      </c>
      <c r="B33" s="114" t="n">
        <f aca="false">IFERROR(SUMIFS(INDEX('Monthly Actuals'!$F$5:$Y$34,0,MATCH(Reports!$B$3,'Monthly Actuals'!$F$4:$Y$4,0)),Budget!$I$5:$I$34,A33),0)</f>
        <v>0</v>
      </c>
      <c r="C33" s="114" t="n">
        <f aca="false">SUMIF(Budget!$I$5:$I$34,A33,Budget!$C$5:$C$34)</f>
        <v>0</v>
      </c>
      <c r="D33" s="199" t="n">
        <f aca="false">B33-C33</f>
        <v>0</v>
      </c>
      <c r="E33" s="146" t="str">
        <f aca="false">IF(C33=0,"",B33/C33)</f>
        <v/>
      </c>
      <c r="F33" s="156" t="str">
        <f aca="false">IF(C33=0,IF(B33&gt;0,"no budget",""),IF(B33&gt;C33,"over","ok"))</f>
        <v/>
      </c>
    </row>
    <row r="34" customFormat="false" ht="15" hidden="false" customHeight="false" outlineLevel="0" collapsed="false">
      <c r="A34" s="150" t="s">
        <v>309</v>
      </c>
      <c r="B34" s="114" t="n">
        <f aca="false">IFERROR(SUMIFS(INDEX('Monthly Actuals'!$F$5:$Y$34,0,MATCH(Reports!$B$3,'Monthly Actuals'!$F$4:$Y$4,0)),Budget!$I$5:$I$34,A34),0)</f>
        <v>0</v>
      </c>
      <c r="C34" s="114" t="n">
        <f aca="false">SUMIF(Budget!$I$5:$I$34,A34,Budget!$C$5:$C$34)</f>
        <v>0</v>
      </c>
      <c r="D34" s="199" t="n">
        <f aca="false">B34-C34</f>
        <v>0</v>
      </c>
      <c r="E34" s="146" t="str">
        <f aca="false">IF(C34=0,"",B34/C34)</f>
        <v/>
      </c>
      <c r="F34" s="156" t="str">
        <f aca="false">IF(C34=0,IF(B34&gt;0,"no budget",""),IF(B34&gt;C34,"over","ok"))</f>
        <v/>
      </c>
    </row>
    <row r="35" customFormat="false" ht="15" hidden="false" customHeight="false" outlineLevel="0" collapsed="false">
      <c r="A35" s="150" t="s">
        <v>317</v>
      </c>
      <c r="B35" s="114" t="n">
        <f aca="false">IFERROR(SUMIFS(INDEX('Monthly Actuals'!$F$5:$Y$34,0,MATCH(Reports!$B$3,'Monthly Actuals'!$F$4:$Y$4,0)),Budget!$I$5:$I$34,A35),0)</f>
        <v>0</v>
      </c>
      <c r="C35" s="114" t="n">
        <f aca="false">SUMIF(Budget!$I$5:$I$34,A35,Budget!$C$5:$C$34)</f>
        <v>0</v>
      </c>
      <c r="D35" s="199" t="n">
        <f aca="false">B35-C35</f>
        <v>0</v>
      </c>
      <c r="E35" s="146" t="str">
        <f aca="false">IF(C35=0,"",B35/C35)</f>
        <v/>
      </c>
      <c r="F35" s="156" t="str">
        <f aca="false">IF(C35=0,IF(B35&gt;0,"no budget",""),IF(B35&gt;C35,"over","ok"))</f>
        <v/>
      </c>
    </row>
    <row r="36" customFormat="false" ht="15" hidden="false" customHeight="false" outlineLevel="0" collapsed="false">
      <c r="A36" s="150" t="s">
        <v>325</v>
      </c>
      <c r="B36" s="114" t="n">
        <f aca="false">IFERROR(SUMIFS(INDEX('Monthly Actuals'!$F$5:$Y$34,0,MATCH(Reports!$B$3,'Monthly Actuals'!$F$4:$Y$4,0)),Budget!$I$5:$I$34,A36),0)</f>
        <v>0</v>
      </c>
      <c r="C36" s="114" t="n">
        <f aca="false">SUMIF(Budget!$I$5:$I$34,A36,Budget!$C$5:$C$34)</f>
        <v>0</v>
      </c>
      <c r="D36" s="199" t="n">
        <f aca="false">B36-C36</f>
        <v>0</v>
      </c>
      <c r="E36" s="146" t="str">
        <f aca="false">IF(C36=0,"",B36/C36)</f>
        <v/>
      </c>
      <c r="F36" s="156" t="str">
        <f aca="false">IF(C36=0,IF(B36&gt;0,"no budget",""),IF(B36&gt;C36,"over","ok"))</f>
        <v/>
      </c>
    </row>
    <row r="37" customFormat="false" ht="15" hidden="false" customHeight="false" outlineLevel="0" collapsed="false">
      <c r="A37" s="150" t="s">
        <v>252</v>
      </c>
      <c r="B37" s="114" t="n">
        <f aca="false">IFERROR(SUMIFS(INDEX('Monthly Actuals'!$F$5:$Y$34,0,MATCH(Reports!$B$3,'Monthly Actuals'!$F$4:$Y$4,0)),Budget!$I$5:$I$34,A37),0)</f>
        <v>0</v>
      </c>
      <c r="C37" s="114" t="n">
        <f aca="false">SUMIF(Budget!$I$5:$I$34,A37,Budget!$C$5:$C$34)</f>
        <v>0</v>
      </c>
      <c r="D37" s="199" t="n">
        <f aca="false">B37-C37</f>
        <v>0</v>
      </c>
      <c r="E37" s="146" t="str">
        <f aca="false">IF(C37=0,"",B37/C37)</f>
        <v/>
      </c>
      <c r="F37" s="156" t="str">
        <f aca="false">IF(C37=0,IF(B37&gt;0,"no budget",""),IF(B37&gt;C37,"over","ok"))</f>
        <v/>
      </c>
    </row>
    <row r="38" customFormat="false" ht="15" hidden="false" customHeight="false" outlineLevel="0" collapsed="false">
      <c r="A38" s="150" t="s">
        <v>340</v>
      </c>
      <c r="B38" s="114" t="n">
        <f aca="false">IFERROR(SUMIFS(INDEX('Monthly Actuals'!$F$5:$Y$34,0,MATCH(Reports!$B$3,'Monthly Actuals'!$F$4:$Y$4,0)),Budget!$I$5:$I$34,A38),0)</f>
        <v>0</v>
      </c>
      <c r="C38" s="114" t="n">
        <f aca="false">SUMIF(Budget!$I$5:$I$34,A38,Budget!$C$5:$C$34)</f>
        <v>0</v>
      </c>
      <c r="D38" s="199" t="n">
        <f aca="false">B38-C38</f>
        <v>0</v>
      </c>
      <c r="E38" s="146" t="str">
        <f aca="false">IF(C38=0,"",B38/C38)</f>
        <v/>
      </c>
      <c r="F38" s="156" t="str">
        <f aca="false">IF(C38=0,IF(B38&gt;0,"no budget",""),IF(B38&gt;C38,"over","ok"))</f>
        <v/>
      </c>
    </row>
    <row r="39" customFormat="false" ht="15" hidden="false" customHeight="false" outlineLevel="0" collapsed="false">
      <c r="A39" s="150" t="s">
        <v>348</v>
      </c>
      <c r="B39" s="114" t="n">
        <f aca="false">IFERROR(SUMIFS(INDEX('Monthly Actuals'!$F$5:$Y$34,0,MATCH(Reports!$B$3,'Monthly Actuals'!$F$4:$Y$4,0)),Budget!$I$5:$I$34,A39),0)</f>
        <v>0</v>
      </c>
      <c r="C39" s="114" t="n">
        <f aca="false">SUMIF(Budget!$I$5:$I$34,A39,Budget!$C$5:$C$34)</f>
        <v>0</v>
      </c>
      <c r="D39" s="199" t="n">
        <f aca="false">B39-C39</f>
        <v>0</v>
      </c>
      <c r="E39" s="146" t="str">
        <f aca="false">IF(C39=0,"",B39/C39)</f>
        <v/>
      </c>
      <c r="F39" s="156" t="str">
        <f aca="false">IF(C39=0,IF(B39&gt;0,"no budget",""),IF(B39&gt;C39,"over","ok"))</f>
        <v/>
      </c>
    </row>
    <row r="40" customFormat="false" ht="15" hidden="false" customHeight="false" outlineLevel="0" collapsed="false">
      <c r="A40" s="150" t="s">
        <v>354</v>
      </c>
      <c r="B40" s="114" t="n">
        <f aca="false">IFERROR(SUMIFS(INDEX('Monthly Actuals'!$F$5:$Y$34,0,MATCH(Reports!$B$3,'Monthly Actuals'!$F$4:$Y$4,0)),Budget!$I$5:$I$34,A40),0)</f>
        <v>0</v>
      </c>
      <c r="C40" s="114" t="n">
        <f aca="false">SUMIF(Budget!$I$5:$I$34,A40,Budget!$C$5:$C$34)</f>
        <v>0</v>
      </c>
      <c r="D40" s="199" t="n">
        <f aca="false">B40-C40</f>
        <v>0</v>
      </c>
      <c r="E40" s="146" t="str">
        <f aca="false">IF(C40=0,"",B40/C40)</f>
        <v/>
      </c>
      <c r="F40" s="156" t="str">
        <f aca="false">IF(C40=0,IF(B40&gt;0,"no budget",""),IF(B40&gt;C40,"over","ok"))</f>
        <v/>
      </c>
    </row>
    <row r="41" customFormat="false" ht="15" hidden="false" customHeight="false" outlineLevel="0" collapsed="false">
      <c r="A41" s="151" t="s">
        <v>723</v>
      </c>
      <c r="B41" s="152" t="n">
        <f aca="false">SUM(B26:B40)</f>
        <v>86.42</v>
      </c>
      <c r="C41" s="152" t="n">
        <f aca="false">SUM(C26:C40)</f>
        <v>0</v>
      </c>
      <c r="D41" s="200" t="n">
        <f aca="false">B41-C41</f>
        <v>86.42</v>
      </c>
      <c r="E41" s="153" t="str">
        <f aca="false">IF(C41=0,"",B41/C41)</f>
        <v/>
      </c>
      <c r="F41" s="155"/>
    </row>
    <row r="44" customFormat="false" ht="18.75" hidden="false" customHeight="true" outlineLevel="0" collapsed="false">
      <c r="A44" s="56" t="s">
        <v>1268</v>
      </c>
      <c r="B44" s="3"/>
      <c r="C44" s="3"/>
      <c r="D44" s="3"/>
      <c r="E44" s="3"/>
      <c r="F44" s="3"/>
      <c r="G44" s="3"/>
    </row>
    <row r="45" customFormat="false" ht="19.5" hidden="false" customHeight="true" outlineLevel="0" collapsed="false">
      <c r="A45" s="107" t="s">
        <v>1114</v>
      </c>
      <c r="B45" s="107" t="s">
        <v>81</v>
      </c>
      <c r="C45" s="107" t="s">
        <v>82</v>
      </c>
      <c r="D45" s="107" t="s">
        <v>83</v>
      </c>
      <c r="E45" s="107" t="s">
        <v>84</v>
      </c>
      <c r="F45" s="107" t="s">
        <v>1269</v>
      </c>
      <c r="G45" s="107" t="s">
        <v>1270</v>
      </c>
    </row>
    <row r="46" customFormat="false" ht="15" hidden="false" customHeight="false" outlineLevel="0" collapsed="false">
      <c r="A46" s="154" t="str">
        <f aca="false">IF('Debts &amp; Credit'!A5="","",'Debts &amp; Credit'!A5)</f>
        <v>Example — Visa card (type over me)</v>
      </c>
      <c r="B46" s="114" t="n">
        <f aca="false">IF(A46="","",'Debts &amp; Credit'!P5)</f>
        <v>0</v>
      </c>
      <c r="C46" s="114" t="str">
        <f aca="false">IF('Debts &amp; Credit'!Q5="","",'Debts &amp; Credit'!Q5)</f>
        <v/>
      </c>
      <c r="D46" s="148" t="str">
        <f aca="false">IF('Debts &amp; Credit'!G5="","",'Debts &amp; Credit'!G5)</f>
        <v/>
      </c>
      <c r="E46" s="203" t="n">
        <f aca="false">IF(A46="","",'Debts &amp; Credit'!H5)</f>
        <v>0</v>
      </c>
      <c r="F46" s="191" t="str">
        <f aca="false">IF(A46="","",TEXT('Debts &amp; Credit'!R5,"#,##0")&amp;" / "&amp;TEXT('Debts &amp; Credit'!N5,"#,##0"))</f>
        <v>0 / 0</v>
      </c>
      <c r="G46" s="145" t="str">
        <f aca="false">IF(A46="","",IF('Debts &amp; Credit'!K5="","",'Debts &amp; Credit'!K5&amp;"  ·  ")&amp;'Debts &amp; Credit'!M5)</f>
        <v>Pick the lender from the dropdown or type a name.</v>
      </c>
    </row>
    <row r="47" customFormat="false" ht="15" hidden="false" customHeight="false" outlineLevel="0" collapsed="false">
      <c r="A47" s="154" t="str">
        <f aca="false">IF('Debts &amp; Credit'!A6="","",'Debts &amp; Credit'!A6)</f>
        <v>Example — car loan</v>
      </c>
      <c r="B47" s="114" t="n">
        <f aca="false">IF(A47="","",'Debts &amp; Credit'!P6)</f>
        <v>0</v>
      </c>
      <c r="C47" s="114" t="str">
        <f aca="false">IF('Debts &amp; Credit'!Q6="","",'Debts &amp; Credit'!Q6)</f>
        <v/>
      </c>
      <c r="D47" s="148" t="str">
        <f aca="false">IF('Debts &amp; Credit'!G6="","",'Debts &amp; Credit'!G6)</f>
        <v/>
      </c>
      <c r="E47" s="203" t="n">
        <f aca="false">IF(A47="","",'Debts &amp; Credit'!H6)</f>
        <v>0</v>
      </c>
      <c r="F47" s="191" t="str">
        <f aca="false">IF(A47="","",TEXT('Debts &amp; Credit'!R6,"#,##0")&amp;" / "&amp;TEXT('Debts &amp; Credit'!N6,"#,##0"))</f>
        <v>0 / 0</v>
      </c>
      <c r="G47" s="145" t="str">
        <f aca="false">IF(A47="","",IF('Debts &amp; Credit'!K6="","",'Debts &amp; Credit'!K6&amp;"  ·  ")&amp;'Debts &amp; Credit'!M6)</f>
        <v>Loans have no credit limit — leave Limit blank.</v>
      </c>
    </row>
    <row r="48" customFormat="false" ht="15" hidden="false" customHeight="false" outlineLevel="0" collapsed="false">
      <c r="A48" s="154" t="str">
        <f aca="false">IF('Debts &amp; Credit'!A7="","",'Debts &amp; Credit'!A7)</f>
        <v>Example — mortgage</v>
      </c>
      <c r="B48" s="114" t="n">
        <f aca="false">IF(A48="","",'Debts &amp; Credit'!P7)</f>
        <v>0</v>
      </c>
      <c r="C48" s="114" t="str">
        <f aca="false">IF('Debts &amp; Credit'!Q7="","",'Debts &amp; Credit'!Q7)</f>
        <v/>
      </c>
      <c r="D48" s="148" t="str">
        <f aca="false">IF('Debts &amp; Credit'!G7="","",'Debts &amp; Credit'!G7)</f>
        <v/>
      </c>
      <c r="E48" s="203" t="n">
        <f aca="false">IF(A48="","",'Debts &amp; Credit'!H7)</f>
        <v>0</v>
      </c>
      <c r="F48" s="191" t="str">
        <f aca="false">IF(A48="","",TEXT('Debts &amp; Credit'!R7,"#,##0")&amp;" / "&amp;TEXT('Debts &amp; Credit'!N7,"#,##0"))</f>
        <v>0 / 0</v>
      </c>
      <c r="G48" s="145" t="str">
        <f aca="false">IF(A48="","",IF('Debts &amp; Credit'!K7="","",'Debts &amp; Credit'!K7&amp;"  ·  ")&amp;'Debts &amp; Credit'!M7)</f>
        <v/>
      </c>
    </row>
    <row r="49" customFormat="false" ht="15" hidden="false" customHeight="false" outlineLevel="0" collapsed="false">
      <c r="A49" s="154" t="str">
        <f aca="false">IF('Debts &amp; Credit'!A8="","",'Debts &amp; Credit'!A8)</f>
        <v/>
      </c>
      <c r="B49" s="114" t="str">
        <f aca="false">IF(A49="","",'Debts &amp; Credit'!P8)</f>
        <v/>
      </c>
      <c r="C49" s="114" t="str">
        <f aca="false">IF('Debts &amp; Credit'!Q8="","",'Debts &amp; Credit'!Q8)</f>
        <v/>
      </c>
      <c r="D49" s="148" t="str">
        <f aca="false">IF('Debts &amp; Credit'!G8="","",'Debts &amp; Credit'!G8)</f>
        <v/>
      </c>
      <c r="E49" s="203" t="str">
        <f aca="false">IF(A49="","",'Debts &amp; Credit'!H8)</f>
        <v/>
      </c>
      <c r="F49" s="191" t="str">
        <f aca="false">IF(A49="","",TEXT('Debts &amp; Credit'!R8,"#,##0")&amp;" / "&amp;TEXT('Debts &amp; Credit'!N8,"#,##0"))</f>
        <v/>
      </c>
      <c r="G49" s="145" t="str">
        <f aca="false">IF(A49="","",IF('Debts &amp; Credit'!K8="","",'Debts &amp; Credit'!K8&amp;"  ·  ")&amp;'Debts &amp; Credit'!M8)</f>
        <v/>
      </c>
    </row>
    <row r="50" customFormat="false" ht="15" hidden="false" customHeight="false" outlineLevel="0" collapsed="false">
      <c r="A50" s="154" t="str">
        <f aca="false">IF('Debts &amp; Credit'!A9="","",'Debts &amp; Credit'!A9)</f>
        <v/>
      </c>
      <c r="B50" s="114" t="str">
        <f aca="false">IF(A50="","",'Debts &amp; Credit'!P9)</f>
        <v/>
      </c>
      <c r="C50" s="114" t="str">
        <f aca="false">IF('Debts &amp; Credit'!Q9="","",'Debts &amp; Credit'!Q9)</f>
        <v/>
      </c>
      <c r="D50" s="148" t="str">
        <f aca="false">IF('Debts &amp; Credit'!G9="","",'Debts &amp; Credit'!G9)</f>
        <v/>
      </c>
      <c r="E50" s="203" t="str">
        <f aca="false">IF(A50="","",'Debts &amp; Credit'!H9)</f>
        <v/>
      </c>
      <c r="F50" s="191" t="str">
        <f aca="false">IF(A50="","",TEXT('Debts &amp; Credit'!R9,"#,##0")&amp;" / "&amp;TEXT('Debts &amp; Credit'!N9,"#,##0"))</f>
        <v/>
      </c>
      <c r="G50" s="145" t="str">
        <f aca="false">IF(A50="","",IF('Debts &amp; Credit'!K9="","",'Debts &amp; Credit'!K9&amp;"  ·  ")&amp;'Debts &amp; Credit'!M9)</f>
        <v/>
      </c>
    </row>
    <row r="51" customFormat="false" ht="15" hidden="false" customHeight="false" outlineLevel="0" collapsed="false">
      <c r="A51" s="154" t="str">
        <f aca="false">IF('Debts &amp; Credit'!A10="","",'Debts &amp; Credit'!A10)</f>
        <v/>
      </c>
      <c r="B51" s="114" t="str">
        <f aca="false">IF(A51="","",'Debts &amp; Credit'!P10)</f>
        <v/>
      </c>
      <c r="C51" s="114" t="str">
        <f aca="false">IF('Debts &amp; Credit'!Q10="","",'Debts &amp; Credit'!Q10)</f>
        <v/>
      </c>
      <c r="D51" s="148" t="str">
        <f aca="false">IF('Debts &amp; Credit'!G10="","",'Debts &amp; Credit'!G10)</f>
        <v/>
      </c>
      <c r="E51" s="203" t="str">
        <f aca="false">IF(A51="","",'Debts &amp; Credit'!H10)</f>
        <v/>
      </c>
      <c r="F51" s="191" t="str">
        <f aca="false">IF(A51="","",TEXT('Debts &amp; Credit'!R10,"#,##0")&amp;" / "&amp;TEXT('Debts &amp; Credit'!N10,"#,##0"))</f>
        <v/>
      </c>
      <c r="G51" s="145" t="str">
        <f aca="false">IF(A51="","",IF('Debts &amp; Credit'!K10="","",'Debts &amp; Credit'!K10&amp;"  ·  ")&amp;'Debts &amp; Credit'!M10)</f>
        <v/>
      </c>
    </row>
    <row r="52" customFormat="false" ht="15" hidden="false" customHeight="false" outlineLevel="0" collapsed="false">
      <c r="A52" s="154" t="str">
        <f aca="false">IF('Debts &amp; Credit'!A11="","",'Debts &amp; Credit'!A11)</f>
        <v/>
      </c>
      <c r="B52" s="114" t="str">
        <f aca="false">IF(A52="","",'Debts &amp; Credit'!P11)</f>
        <v/>
      </c>
      <c r="C52" s="114" t="str">
        <f aca="false">IF('Debts &amp; Credit'!Q11="","",'Debts &amp; Credit'!Q11)</f>
        <v/>
      </c>
      <c r="D52" s="148" t="str">
        <f aca="false">IF('Debts &amp; Credit'!G11="","",'Debts &amp; Credit'!G11)</f>
        <v/>
      </c>
      <c r="E52" s="203" t="str">
        <f aca="false">IF(A52="","",'Debts &amp; Credit'!H11)</f>
        <v/>
      </c>
      <c r="F52" s="191" t="str">
        <f aca="false">IF(A52="","",TEXT('Debts &amp; Credit'!R11,"#,##0")&amp;" / "&amp;TEXT('Debts &amp; Credit'!N11,"#,##0"))</f>
        <v/>
      </c>
      <c r="G52" s="145" t="str">
        <f aca="false">IF(A52="","",IF('Debts &amp; Credit'!K11="","",'Debts &amp; Credit'!K11&amp;"  ·  ")&amp;'Debts &amp; Credit'!M11)</f>
        <v/>
      </c>
    </row>
    <row r="53" customFormat="false" ht="15" hidden="false" customHeight="false" outlineLevel="0" collapsed="false">
      <c r="A53" s="154" t="str">
        <f aca="false">IF('Debts &amp; Credit'!A12="","",'Debts &amp; Credit'!A12)</f>
        <v/>
      </c>
      <c r="B53" s="114" t="str">
        <f aca="false">IF(A53="","",'Debts &amp; Credit'!P12)</f>
        <v/>
      </c>
      <c r="C53" s="114" t="str">
        <f aca="false">IF('Debts &amp; Credit'!Q12="","",'Debts &amp; Credit'!Q12)</f>
        <v/>
      </c>
      <c r="D53" s="148" t="str">
        <f aca="false">IF('Debts &amp; Credit'!G12="","",'Debts &amp; Credit'!G12)</f>
        <v/>
      </c>
      <c r="E53" s="203" t="str">
        <f aca="false">IF(A53="","",'Debts &amp; Credit'!H12)</f>
        <v/>
      </c>
      <c r="F53" s="191" t="str">
        <f aca="false">IF(A53="","",TEXT('Debts &amp; Credit'!R12,"#,##0")&amp;" / "&amp;TEXT('Debts &amp; Credit'!N12,"#,##0"))</f>
        <v/>
      </c>
      <c r="G53" s="145" t="str">
        <f aca="false">IF(A53="","",IF('Debts &amp; Credit'!K12="","",'Debts &amp; Credit'!K12&amp;"  ·  ")&amp;'Debts &amp; Credit'!M12)</f>
        <v/>
      </c>
    </row>
    <row r="54" customFormat="false" ht="15" hidden="false" customHeight="false" outlineLevel="0" collapsed="false">
      <c r="A54" s="154" t="str">
        <f aca="false">IF('Debts &amp; Credit'!A13="","",'Debts &amp; Credit'!A13)</f>
        <v/>
      </c>
      <c r="B54" s="114" t="str">
        <f aca="false">IF(A54="","",'Debts &amp; Credit'!P13)</f>
        <v/>
      </c>
      <c r="C54" s="114" t="str">
        <f aca="false">IF('Debts &amp; Credit'!Q13="","",'Debts &amp; Credit'!Q13)</f>
        <v/>
      </c>
      <c r="D54" s="148" t="str">
        <f aca="false">IF('Debts &amp; Credit'!G13="","",'Debts &amp; Credit'!G13)</f>
        <v/>
      </c>
      <c r="E54" s="203" t="str">
        <f aca="false">IF(A54="","",'Debts &amp; Credit'!H13)</f>
        <v/>
      </c>
      <c r="F54" s="191" t="str">
        <f aca="false">IF(A54="","",TEXT('Debts &amp; Credit'!R13,"#,##0")&amp;" / "&amp;TEXT('Debts &amp; Credit'!N13,"#,##0"))</f>
        <v/>
      </c>
      <c r="G54" s="145" t="str">
        <f aca="false">IF(A54="","",IF('Debts &amp; Credit'!K13="","",'Debts &amp; Credit'!K13&amp;"  ·  ")&amp;'Debts &amp; Credit'!M13)</f>
        <v/>
      </c>
    </row>
    <row r="55" customFormat="false" ht="15" hidden="false" customHeight="false" outlineLevel="0" collapsed="false">
      <c r="A55" s="154" t="str">
        <f aca="false">IF('Debts &amp; Credit'!A14="","",'Debts &amp; Credit'!A14)</f>
        <v/>
      </c>
      <c r="B55" s="114" t="str">
        <f aca="false">IF(A55="","",'Debts &amp; Credit'!P14)</f>
        <v/>
      </c>
      <c r="C55" s="114" t="str">
        <f aca="false">IF('Debts &amp; Credit'!Q14="","",'Debts &amp; Credit'!Q14)</f>
        <v/>
      </c>
      <c r="D55" s="148" t="str">
        <f aca="false">IF('Debts &amp; Credit'!G14="","",'Debts &amp; Credit'!G14)</f>
        <v/>
      </c>
      <c r="E55" s="203" t="str">
        <f aca="false">IF(A55="","",'Debts &amp; Credit'!H14)</f>
        <v/>
      </c>
      <c r="F55" s="191" t="str">
        <f aca="false">IF(A55="","",TEXT('Debts &amp; Credit'!R14,"#,##0")&amp;" / "&amp;TEXT('Debts &amp; Credit'!N14,"#,##0"))</f>
        <v/>
      </c>
      <c r="G55" s="145" t="str">
        <f aca="false">IF(A55="","",IF('Debts &amp; Credit'!K14="","",'Debts &amp; Credit'!K14&amp;"  ·  ")&amp;'Debts &amp; Credit'!M14)</f>
        <v/>
      </c>
    </row>
    <row r="56" customFormat="false" ht="15" hidden="false" customHeight="false" outlineLevel="0" collapsed="false">
      <c r="A56" s="154" t="str">
        <f aca="false">IF('Debts &amp; Credit'!A15="","",'Debts &amp; Credit'!A15)</f>
        <v/>
      </c>
      <c r="B56" s="114" t="str">
        <f aca="false">IF(A56="","",'Debts &amp; Credit'!P15)</f>
        <v/>
      </c>
      <c r="C56" s="114" t="str">
        <f aca="false">IF('Debts &amp; Credit'!Q15="","",'Debts &amp; Credit'!Q15)</f>
        <v/>
      </c>
      <c r="D56" s="148" t="str">
        <f aca="false">IF('Debts &amp; Credit'!G15="","",'Debts &amp; Credit'!G15)</f>
        <v/>
      </c>
      <c r="E56" s="203" t="str">
        <f aca="false">IF(A56="","",'Debts &amp; Credit'!H15)</f>
        <v/>
      </c>
      <c r="F56" s="191" t="str">
        <f aca="false">IF(A56="","",TEXT('Debts &amp; Credit'!R15,"#,##0")&amp;" / "&amp;TEXT('Debts &amp; Credit'!N15,"#,##0"))</f>
        <v/>
      </c>
      <c r="G56" s="145" t="str">
        <f aca="false">IF(A56="","",IF('Debts &amp; Credit'!K15="","",'Debts &amp; Credit'!K15&amp;"  ·  ")&amp;'Debts &amp; Credit'!M15)</f>
        <v/>
      </c>
    </row>
    <row r="57" customFormat="false" ht="15" hidden="false" customHeight="false" outlineLevel="0" collapsed="false">
      <c r="A57" s="154" t="str">
        <f aca="false">IF('Debts &amp; Credit'!A16="","",'Debts &amp; Credit'!A16)</f>
        <v/>
      </c>
      <c r="B57" s="114" t="str">
        <f aca="false">IF(A57="","",'Debts &amp; Credit'!P16)</f>
        <v/>
      </c>
      <c r="C57" s="114" t="str">
        <f aca="false">IF('Debts &amp; Credit'!Q16="","",'Debts &amp; Credit'!Q16)</f>
        <v/>
      </c>
      <c r="D57" s="148" t="str">
        <f aca="false">IF('Debts &amp; Credit'!G16="","",'Debts &amp; Credit'!G16)</f>
        <v/>
      </c>
      <c r="E57" s="203" t="str">
        <f aca="false">IF(A57="","",'Debts &amp; Credit'!H16)</f>
        <v/>
      </c>
      <c r="F57" s="191" t="str">
        <f aca="false">IF(A57="","",TEXT('Debts &amp; Credit'!R16,"#,##0")&amp;" / "&amp;TEXT('Debts &amp; Credit'!N16,"#,##0"))</f>
        <v/>
      </c>
      <c r="G57" s="145" t="str">
        <f aca="false">IF(A57="","",IF('Debts &amp; Credit'!K16="","",'Debts &amp; Credit'!K16&amp;"  ·  ")&amp;'Debts &amp; Credit'!M16)</f>
        <v/>
      </c>
    </row>
    <row r="58" customFormat="false" ht="15" hidden="false" customHeight="false" outlineLevel="0" collapsed="false">
      <c r="A58" s="154" t="str">
        <f aca="false">IF('Debts &amp; Credit'!A17="","",'Debts &amp; Credit'!A17)</f>
        <v/>
      </c>
      <c r="B58" s="114" t="str">
        <f aca="false">IF(A58="","",'Debts &amp; Credit'!P17)</f>
        <v/>
      </c>
      <c r="C58" s="114" t="str">
        <f aca="false">IF('Debts &amp; Credit'!Q17="","",'Debts &amp; Credit'!Q17)</f>
        <v/>
      </c>
      <c r="D58" s="148" t="str">
        <f aca="false">IF('Debts &amp; Credit'!G17="","",'Debts &amp; Credit'!G17)</f>
        <v/>
      </c>
      <c r="E58" s="203" t="str">
        <f aca="false">IF(A58="","",'Debts &amp; Credit'!H17)</f>
        <v/>
      </c>
      <c r="F58" s="191" t="str">
        <f aca="false">IF(A58="","",TEXT('Debts &amp; Credit'!R17,"#,##0")&amp;" / "&amp;TEXT('Debts &amp; Credit'!N17,"#,##0"))</f>
        <v/>
      </c>
      <c r="G58" s="145" t="str">
        <f aca="false">IF(A58="","",IF('Debts &amp; Credit'!K17="","",'Debts &amp; Credit'!K17&amp;"  ·  ")&amp;'Debts &amp; Credit'!M17)</f>
        <v/>
      </c>
    </row>
    <row r="59" customFormat="false" ht="15" hidden="false" customHeight="false" outlineLevel="0" collapsed="false">
      <c r="A59" s="154" t="str">
        <f aca="false">IF('Debts &amp; Credit'!A18="","",'Debts &amp; Credit'!A18)</f>
        <v/>
      </c>
      <c r="B59" s="114" t="str">
        <f aca="false">IF(A59="","",'Debts &amp; Credit'!P18)</f>
        <v/>
      </c>
      <c r="C59" s="114" t="str">
        <f aca="false">IF('Debts &amp; Credit'!Q18="","",'Debts &amp; Credit'!Q18)</f>
        <v/>
      </c>
      <c r="D59" s="148" t="str">
        <f aca="false">IF('Debts &amp; Credit'!G18="","",'Debts &amp; Credit'!G18)</f>
        <v/>
      </c>
      <c r="E59" s="203" t="str">
        <f aca="false">IF(A59="","",'Debts &amp; Credit'!H18)</f>
        <v/>
      </c>
      <c r="F59" s="191" t="str">
        <f aca="false">IF(A59="","",TEXT('Debts &amp; Credit'!R18,"#,##0")&amp;" / "&amp;TEXT('Debts &amp; Credit'!N18,"#,##0"))</f>
        <v/>
      </c>
      <c r="G59" s="145" t="str">
        <f aca="false">IF(A59="","",IF('Debts &amp; Credit'!K18="","",'Debts &amp; Credit'!K18&amp;"  ·  ")&amp;'Debts &amp; Credit'!M18)</f>
        <v/>
      </c>
    </row>
    <row r="60" customFormat="false" ht="15" hidden="false" customHeight="false" outlineLevel="0" collapsed="false">
      <c r="A60" s="154" t="str">
        <f aca="false">IF('Debts &amp; Credit'!A19="","",'Debts &amp; Credit'!A19)</f>
        <v/>
      </c>
      <c r="B60" s="114" t="str">
        <f aca="false">IF(A60="","",'Debts &amp; Credit'!P19)</f>
        <v/>
      </c>
      <c r="C60" s="114" t="str">
        <f aca="false">IF('Debts &amp; Credit'!Q19="","",'Debts &amp; Credit'!Q19)</f>
        <v/>
      </c>
      <c r="D60" s="148" t="str">
        <f aca="false">IF('Debts &amp; Credit'!G19="","",'Debts &amp; Credit'!G19)</f>
        <v/>
      </c>
      <c r="E60" s="203" t="str">
        <f aca="false">IF(A60="","",'Debts &amp; Credit'!H19)</f>
        <v/>
      </c>
      <c r="F60" s="191" t="str">
        <f aca="false">IF(A60="","",TEXT('Debts &amp; Credit'!R19,"#,##0")&amp;" / "&amp;TEXT('Debts &amp; Credit'!N19,"#,##0"))</f>
        <v/>
      </c>
      <c r="G60" s="145" t="str">
        <f aca="false">IF(A60="","",IF('Debts &amp; Credit'!K19="","",'Debts &amp; Credit'!K19&amp;"  ·  ")&amp;'Debts &amp; Credit'!M19)</f>
        <v/>
      </c>
    </row>
    <row r="61" customFormat="false" ht="15" hidden="false" customHeight="false" outlineLevel="0" collapsed="false">
      <c r="A61" s="154" t="str">
        <f aca="false">IF('Debts &amp; Credit'!A20="","",'Debts &amp; Credit'!A20)</f>
        <v/>
      </c>
      <c r="B61" s="114" t="str">
        <f aca="false">IF(A61="","",'Debts &amp; Credit'!P20)</f>
        <v/>
      </c>
      <c r="C61" s="114" t="str">
        <f aca="false">IF('Debts &amp; Credit'!Q20="","",'Debts &amp; Credit'!Q20)</f>
        <v/>
      </c>
      <c r="D61" s="148" t="str">
        <f aca="false">IF('Debts &amp; Credit'!G20="","",'Debts &amp; Credit'!G20)</f>
        <v/>
      </c>
      <c r="E61" s="203" t="str">
        <f aca="false">IF(A61="","",'Debts &amp; Credit'!H20)</f>
        <v/>
      </c>
      <c r="F61" s="191" t="str">
        <f aca="false">IF(A61="","",TEXT('Debts &amp; Credit'!R20,"#,##0")&amp;" / "&amp;TEXT('Debts &amp; Credit'!N20,"#,##0"))</f>
        <v/>
      </c>
      <c r="G61" s="145" t="str">
        <f aca="false">IF(A61="","",IF('Debts &amp; Credit'!K20="","",'Debts &amp; Credit'!K20&amp;"  ·  ")&amp;'Debts &amp; Credit'!M20)</f>
        <v/>
      </c>
    </row>
    <row r="62" customFormat="false" ht="15" hidden="false" customHeight="false" outlineLevel="0" collapsed="false">
      <c r="A62" s="154" t="str">
        <f aca="false">IF('Debts &amp; Credit'!A21="","",'Debts &amp; Credit'!A21)</f>
        <v/>
      </c>
      <c r="B62" s="114" t="str">
        <f aca="false">IF(A62="","",'Debts &amp; Credit'!P21)</f>
        <v/>
      </c>
      <c r="C62" s="114" t="str">
        <f aca="false">IF('Debts &amp; Credit'!Q21="","",'Debts &amp; Credit'!Q21)</f>
        <v/>
      </c>
      <c r="D62" s="148" t="str">
        <f aca="false">IF('Debts &amp; Credit'!G21="","",'Debts &amp; Credit'!G21)</f>
        <v/>
      </c>
      <c r="E62" s="203" t="str">
        <f aca="false">IF(A62="","",'Debts &amp; Credit'!H21)</f>
        <v/>
      </c>
      <c r="F62" s="191" t="str">
        <f aca="false">IF(A62="","",TEXT('Debts &amp; Credit'!R21,"#,##0")&amp;" / "&amp;TEXT('Debts &amp; Credit'!N21,"#,##0"))</f>
        <v/>
      </c>
      <c r="G62" s="145" t="str">
        <f aca="false">IF(A62="","",IF('Debts &amp; Credit'!K21="","",'Debts &amp; Credit'!K21&amp;"  ·  ")&amp;'Debts &amp; Credit'!M21)</f>
        <v/>
      </c>
    </row>
    <row r="63" customFormat="false" ht="15" hidden="false" customHeight="false" outlineLevel="0" collapsed="false">
      <c r="A63" s="154" t="str">
        <f aca="false">IF('Debts &amp; Credit'!A22="","",'Debts &amp; Credit'!A22)</f>
        <v/>
      </c>
      <c r="B63" s="114" t="str">
        <f aca="false">IF(A63="","",'Debts &amp; Credit'!P22)</f>
        <v/>
      </c>
      <c r="C63" s="114" t="str">
        <f aca="false">IF('Debts &amp; Credit'!Q22="","",'Debts &amp; Credit'!Q22)</f>
        <v/>
      </c>
      <c r="D63" s="148" t="str">
        <f aca="false">IF('Debts &amp; Credit'!G22="","",'Debts &amp; Credit'!G22)</f>
        <v/>
      </c>
      <c r="E63" s="203" t="str">
        <f aca="false">IF(A63="","",'Debts &amp; Credit'!H22)</f>
        <v/>
      </c>
      <c r="F63" s="191" t="str">
        <f aca="false">IF(A63="","",TEXT('Debts &amp; Credit'!R22,"#,##0")&amp;" / "&amp;TEXT('Debts &amp; Credit'!N22,"#,##0"))</f>
        <v/>
      </c>
      <c r="G63" s="145" t="str">
        <f aca="false">IF(A63="","",IF('Debts &amp; Credit'!K22="","",'Debts &amp; Credit'!K22&amp;"  ·  ")&amp;'Debts &amp; Credit'!M22)</f>
        <v/>
      </c>
    </row>
    <row r="64" customFormat="false" ht="15" hidden="false" customHeight="false" outlineLevel="0" collapsed="false">
      <c r="A64" s="154" t="str">
        <f aca="false">IF('Debts &amp; Credit'!A23="","",'Debts &amp; Credit'!A23)</f>
        <v/>
      </c>
      <c r="B64" s="114" t="str">
        <f aca="false">IF(A64="","",'Debts &amp; Credit'!P23)</f>
        <v/>
      </c>
      <c r="C64" s="114" t="str">
        <f aca="false">IF('Debts &amp; Credit'!Q23="","",'Debts &amp; Credit'!Q23)</f>
        <v/>
      </c>
      <c r="D64" s="148" t="str">
        <f aca="false">IF('Debts &amp; Credit'!G23="","",'Debts &amp; Credit'!G23)</f>
        <v/>
      </c>
      <c r="E64" s="203" t="str">
        <f aca="false">IF(A64="","",'Debts &amp; Credit'!H23)</f>
        <v/>
      </c>
      <c r="F64" s="191" t="str">
        <f aca="false">IF(A64="","",TEXT('Debts &amp; Credit'!R23,"#,##0")&amp;" / "&amp;TEXT('Debts &amp; Credit'!N23,"#,##0"))</f>
        <v/>
      </c>
      <c r="G64" s="145" t="str">
        <f aca="false">IF(A64="","",IF('Debts &amp; Credit'!K23="","",'Debts &amp; Credit'!K23&amp;"  ·  ")&amp;'Debts &amp; Credit'!M23)</f>
        <v/>
      </c>
    </row>
    <row r="65" customFormat="false" ht="15" hidden="false" customHeight="false" outlineLevel="0" collapsed="false">
      <c r="A65" s="154" t="str">
        <f aca="false">IF('Debts &amp; Credit'!A24="","",'Debts &amp; Credit'!A24)</f>
        <v/>
      </c>
      <c r="B65" s="114" t="str">
        <f aca="false">IF(A65="","",'Debts &amp; Credit'!P24)</f>
        <v/>
      </c>
      <c r="C65" s="114" t="str">
        <f aca="false">IF('Debts &amp; Credit'!Q24="","",'Debts &amp; Credit'!Q24)</f>
        <v/>
      </c>
      <c r="D65" s="148" t="str">
        <f aca="false">IF('Debts &amp; Credit'!G24="","",'Debts &amp; Credit'!G24)</f>
        <v/>
      </c>
      <c r="E65" s="203" t="str">
        <f aca="false">IF(A65="","",'Debts &amp; Credit'!H24)</f>
        <v/>
      </c>
      <c r="F65" s="191" t="str">
        <f aca="false">IF(A65="","",TEXT('Debts &amp; Credit'!R24,"#,##0")&amp;" / "&amp;TEXT('Debts &amp; Credit'!N24,"#,##0"))</f>
        <v/>
      </c>
      <c r="G65" s="145" t="str">
        <f aca="false">IF(A65="","",IF('Debts &amp; Credit'!K24="","",'Debts &amp; Credit'!K24&amp;"  ·  ")&amp;'Debts &amp; Credit'!M24)</f>
        <v/>
      </c>
    </row>
    <row r="66" customFormat="false" ht="15" hidden="false" customHeight="false" outlineLevel="0" collapsed="false">
      <c r="A66" s="154" t="str">
        <f aca="false">IF('Debts &amp; Credit'!A25="","",'Debts &amp; Credit'!A25)</f>
        <v/>
      </c>
      <c r="B66" s="114" t="str">
        <f aca="false">IF(A66="","",'Debts &amp; Credit'!P25)</f>
        <v/>
      </c>
      <c r="C66" s="114" t="str">
        <f aca="false">IF('Debts &amp; Credit'!Q25="","",'Debts &amp; Credit'!Q25)</f>
        <v/>
      </c>
      <c r="D66" s="148" t="str">
        <f aca="false">IF('Debts &amp; Credit'!G25="","",'Debts &amp; Credit'!G25)</f>
        <v/>
      </c>
      <c r="E66" s="203" t="str">
        <f aca="false">IF(A66="","",'Debts &amp; Credit'!H25)</f>
        <v/>
      </c>
      <c r="F66" s="191" t="str">
        <f aca="false">IF(A66="","",TEXT('Debts &amp; Credit'!R25,"#,##0")&amp;" / "&amp;TEXT('Debts &amp; Credit'!N25,"#,##0"))</f>
        <v/>
      </c>
      <c r="G66" s="145" t="str">
        <f aca="false">IF(A66="","",IF('Debts &amp; Credit'!K25="","",'Debts &amp; Credit'!K25&amp;"  ·  ")&amp;'Debts &amp; Credit'!M25)</f>
        <v/>
      </c>
    </row>
    <row r="67" customFormat="false" ht="15" hidden="false" customHeight="false" outlineLevel="0" collapsed="false">
      <c r="A67" s="154" t="str">
        <f aca="false">IF('Debts &amp; Credit'!A26="","",'Debts &amp; Credit'!A26)</f>
        <v/>
      </c>
      <c r="B67" s="114" t="str">
        <f aca="false">IF(A67="","",'Debts &amp; Credit'!P26)</f>
        <v/>
      </c>
      <c r="C67" s="114" t="str">
        <f aca="false">IF('Debts &amp; Credit'!Q26="","",'Debts &amp; Credit'!Q26)</f>
        <v/>
      </c>
      <c r="D67" s="148" t="str">
        <f aca="false">IF('Debts &amp; Credit'!G26="","",'Debts &amp; Credit'!G26)</f>
        <v/>
      </c>
      <c r="E67" s="203" t="str">
        <f aca="false">IF(A67="","",'Debts &amp; Credit'!H26)</f>
        <v/>
      </c>
      <c r="F67" s="191" t="str">
        <f aca="false">IF(A67="","",TEXT('Debts &amp; Credit'!R26,"#,##0")&amp;" / "&amp;TEXT('Debts &amp; Credit'!N26,"#,##0"))</f>
        <v/>
      </c>
      <c r="G67" s="145" t="str">
        <f aca="false">IF(A67="","",IF('Debts &amp; Credit'!K26="","",'Debts &amp; Credit'!K26&amp;"  ·  ")&amp;'Debts &amp; Credit'!M26)</f>
        <v/>
      </c>
    </row>
    <row r="68" customFormat="false" ht="15" hidden="false" customHeight="false" outlineLevel="0" collapsed="false">
      <c r="A68" s="154" t="str">
        <f aca="false">IF('Debts &amp; Credit'!A27="","",'Debts &amp; Credit'!A27)</f>
        <v/>
      </c>
      <c r="B68" s="114" t="str">
        <f aca="false">IF(A68="","",'Debts &amp; Credit'!P27)</f>
        <v/>
      </c>
      <c r="C68" s="114" t="str">
        <f aca="false">IF('Debts &amp; Credit'!Q27="","",'Debts &amp; Credit'!Q27)</f>
        <v/>
      </c>
      <c r="D68" s="148" t="str">
        <f aca="false">IF('Debts &amp; Credit'!G27="","",'Debts &amp; Credit'!G27)</f>
        <v/>
      </c>
      <c r="E68" s="203" t="str">
        <f aca="false">IF(A68="","",'Debts &amp; Credit'!H27)</f>
        <v/>
      </c>
      <c r="F68" s="191" t="str">
        <f aca="false">IF(A68="","",TEXT('Debts &amp; Credit'!R27,"#,##0")&amp;" / "&amp;TEXT('Debts &amp; Credit'!N27,"#,##0"))</f>
        <v/>
      </c>
      <c r="G68" s="145" t="str">
        <f aca="false">IF(A68="","",IF('Debts &amp; Credit'!K27="","",'Debts &amp; Credit'!K27&amp;"  ·  ")&amp;'Debts &amp; Credit'!M27)</f>
        <v/>
      </c>
    </row>
    <row r="69" customFormat="false" ht="15" hidden="false" customHeight="false" outlineLevel="0" collapsed="false">
      <c r="A69" s="151" t="s">
        <v>86</v>
      </c>
      <c r="B69" s="152" t="n">
        <f aca="false">'Debts &amp; Credit'!$D$28</f>
        <v>0</v>
      </c>
      <c r="C69" s="152" t="n">
        <f aca="false">'Debts &amp; Credit'!$E$28</f>
        <v>0</v>
      </c>
      <c r="D69" s="153" t="n">
        <f aca="false">'Debts &amp; Credit'!$G$28</f>
        <v>0</v>
      </c>
      <c r="E69" s="155"/>
      <c r="F69" s="133" t="str">
        <f aca="false">TEXT('Debts &amp; Credit'!I28,"#,##0")&amp;" / "&amp;TEXT('Debts &amp; Credit'!N28,"#,##0")</f>
        <v>0 / 0</v>
      </c>
      <c r="G69" s="155"/>
    </row>
    <row r="70" customFormat="false" ht="15" hidden="false" customHeight="false" outlineLevel="0" collapsed="false">
      <c r="A70" s="151" t="s">
        <v>1271</v>
      </c>
      <c r="B70" s="152" t="n">
        <f aca="false">'Debts &amp; Credit'!$D$30</f>
        <v>0</v>
      </c>
      <c r="E70" s="155"/>
      <c r="F70" s="133" t="str">
        <f aca="false">TEXT('Debts &amp; Credit'!$I$30,"#,##0")&amp;" / "&amp;TEXT('Debts &amp; Credit'!N30,"#,##0")</f>
        <v>0 / 0</v>
      </c>
      <c r="G70" s="155"/>
    </row>
    <row r="71" customFormat="false" ht="15" hidden="false" customHeight="false" outlineLevel="0" collapsed="false">
      <c r="A71" s="99" t="s">
        <v>1272</v>
      </c>
      <c r="B71" s="204" t="str">
        <f aca="false">IF(COUNTA(Snapshots!$A$5:$A$44)=0,"",'Debts &amp; Credit'!$D$28-IF(COUNTA(Snapshots!$A$5:$A$44)&lt;1,0,INDEX(Snapshots!$D$5:$D$44,COUNTA(Snapshots!$A$5:$A$44))))</f>
        <v/>
      </c>
    </row>
    <row r="72" customFormat="false" ht="15" hidden="false" customHeight="false" outlineLevel="0" collapsed="false">
      <c r="A72" s="21" t="s">
        <v>1273</v>
      </c>
    </row>
    <row r="74" customFormat="false" ht="18.75" hidden="false" customHeight="true" outlineLevel="0" collapsed="false">
      <c r="A74" s="56" t="str">
        <f aca="false">"3 · BUDGET vs ACTUAL — "&amp;UPPER(TEXT($B$3,"mmmm yyyy"))</f>
        <v>3 · BUDGET vs ACTUAL — OCTOBER 2026</v>
      </c>
      <c r="B74" s="3"/>
      <c r="C74" s="3"/>
      <c r="D74" s="3"/>
      <c r="E74" s="3"/>
      <c r="F74" s="3"/>
      <c r="G74" s="3"/>
    </row>
    <row r="75" customFormat="false" ht="19.5" hidden="false" customHeight="true" outlineLevel="0" collapsed="false">
      <c r="A75" s="107" t="s">
        <v>1103</v>
      </c>
      <c r="B75" s="107" t="s">
        <v>23</v>
      </c>
      <c r="C75" s="107" t="s">
        <v>1274</v>
      </c>
      <c r="D75" s="107" t="s">
        <v>1106</v>
      </c>
      <c r="E75" s="107" t="s">
        <v>1257</v>
      </c>
      <c r="F75" s="107" t="s">
        <v>1261</v>
      </c>
      <c r="G75" s="107"/>
    </row>
    <row r="76" customFormat="false" ht="15" hidden="false" customHeight="false" outlineLevel="0" collapsed="false">
      <c r="A76" s="154" t="str">
        <f aca="false">'Monthly Actuals'!A5</f>
        <v>Rent / mortgage</v>
      </c>
      <c r="B76" s="114" t="n">
        <f aca="false">IF(A76="","",'Monthly Actuals'!B5)</f>
        <v>0</v>
      </c>
      <c r="C76" s="114" t="n">
        <f aca="false">IF(A76="","",IFERROR(INDEX('Monthly Actuals'!$F5:$Y5,MATCH(Reports!$B$3,'Monthly Actuals'!$F$4:$Y$4,0)),0))</f>
        <v>0</v>
      </c>
      <c r="D76" s="199" t="n">
        <f aca="false">IF(A76="","",C76-B76)</f>
        <v>0</v>
      </c>
      <c r="E76" s="146" t="str">
        <f aca="false">IF(OR(A76="",B76=0),"",C76/B76)</f>
        <v/>
      </c>
      <c r="F76" s="156" t="str">
        <f aca="false">IF(A76="","",IF(AND(B76=0,C76&gt;0),"no budget",IF(C76&gt;B76,"over","ok")))</f>
        <v>ok</v>
      </c>
    </row>
    <row r="77" customFormat="false" ht="15" hidden="false" customHeight="false" outlineLevel="0" collapsed="false">
      <c r="A77" s="154" t="str">
        <f aca="false">'Monthly Actuals'!A6</f>
        <v>Home / renters insurance</v>
      </c>
      <c r="B77" s="114" t="n">
        <f aca="false">IF(A77="","",'Monthly Actuals'!B6)</f>
        <v>0</v>
      </c>
      <c r="C77" s="114" t="n">
        <f aca="false">IF(A77="","",IFERROR(INDEX('Monthly Actuals'!$F6:$Y6,MATCH(Reports!$B$3,'Monthly Actuals'!$F$4:$Y$4,0)),0))</f>
        <v>0</v>
      </c>
      <c r="D77" s="199" t="n">
        <f aca="false">IF(A77="","",C77-B77)</f>
        <v>0</v>
      </c>
      <c r="E77" s="146" t="str">
        <f aca="false">IF(OR(A77="",B77=0),"",C77/B77)</f>
        <v/>
      </c>
      <c r="F77" s="156" t="str">
        <f aca="false">IF(A77="","",IF(AND(B77=0,C77&gt;0),"no budget",IF(C77&gt;B77,"over","ok")))</f>
        <v>ok</v>
      </c>
    </row>
    <row r="78" customFormat="false" ht="15" hidden="false" customHeight="false" outlineLevel="0" collapsed="false">
      <c r="A78" s="154" t="str">
        <f aca="false">'Monthly Actuals'!A7</f>
        <v>Property tax</v>
      </c>
      <c r="B78" s="114" t="n">
        <f aca="false">IF(A78="","",'Monthly Actuals'!B7)</f>
        <v>0</v>
      </c>
      <c r="C78" s="114" t="n">
        <f aca="false">IF(A78="","",IFERROR(INDEX('Monthly Actuals'!$F7:$Y7,MATCH(Reports!$B$3,'Monthly Actuals'!$F$4:$Y$4,0)),0))</f>
        <v>0</v>
      </c>
      <c r="D78" s="199" t="n">
        <f aca="false">IF(A78="","",C78-B78)</f>
        <v>0</v>
      </c>
      <c r="E78" s="146" t="str">
        <f aca="false">IF(OR(A78="",B78=0),"",C78/B78)</f>
        <v/>
      </c>
      <c r="F78" s="156" t="str">
        <f aca="false">IF(A78="","",IF(AND(B78=0,C78&gt;0),"no budget",IF(C78&gt;B78,"over","ok")))</f>
        <v>ok</v>
      </c>
    </row>
    <row r="79" customFormat="false" ht="15" hidden="false" customHeight="false" outlineLevel="0" collapsed="false">
      <c r="A79" s="154" t="str">
        <f aca="false">'Monthly Actuals'!A8</f>
        <v>Electric</v>
      </c>
      <c r="B79" s="114" t="n">
        <f aca="false">IF(A79="","",'Monthly Actuals'!B8)</f>
        <v>0</v>
      </c>
      <c r="C79" s="114" t="n">
        <f aca="false">IF(A79="","",IFERROR(INDEX('Monthly Actuals'!$F8:$Y8,MATCH(Reports!$B$3,'Monthly Actuals'!$F$4:$Y$4,0)),0))</f>
        <v>0</v>
      </c>
      <c r="D79" s="199" t="n">
        <f aca="false">IF(A79="","",C79-B79)</f>
        <v>0</v>
      </c>
      <c r="E79" s="146" t="str">
        <f aca="false">IF(OR(A79="",B79=0),"",C79/B79)</f>
        <v/>
      </c>
      <c r="F79" s="156" t="str">
        <f aca="false">IF(A79="","",IF(AND(B79=0,C79&gt;0),"no budget",IF(C79&gt;B79,"over","ok")))</f>
        <v>ok</v>
      </c>
    </row>
    <row r="80" customFormat="false" ht="15" hidden="false" customHeight="false" outlineLevel="0" collapsed="false">
      <c r="A80" s="154" t="str">
        <f aca="false">'Monthly Actuals'!A9</f>
        <v>Gas / heating oil</v>
      </c>
      <c r="B80" s="114" t="n">
        <f aca="false">IF(A80="","",'Monthly Actuals'!B9)</f>
        <v>0</v>
      </c>
      <c r="C80" s="114" t="n">
        <f aca="false">IF(A80="","",IFERROR(INDEX('Monthly Actuals'!$F9:$Y9,MATCH(Reports!$B$3,'Monthly Actuals'!$F$4:$Y$4,0)),0))</f>
        <v>0</v>
      </c>
      <c r="D80" s="199" t="n">
        <f aca="false">IF(A80="","",C80-B80)</f>
        <v>0</v>
      </c>
      <c r="E80" s="146" t="str">
        <f aca="false">IF(OR(A80="",B80=0),"",C80/B80)</f>
        <v/>
      </c>
      <c r="F80" s="156" t="str">
        <f aca="false">IF(A80="","",IF(AND(B80=0,C80&gt;0),"no budget",IF(C80&gt;B80,"over","ok")))</f>
        <v>ok</v>
      </c>
    </row>
    <row r="81" customFormat="false" ht="15" hidden="false" customHeight="false" outlineLevel="0" collapsed="false">
      <c r="A81" s="154" t="str">
        <f aca="false">'Monthly Actuals'!A10</f>
        <v>Water / sewer</v>
      </c>
      <c r="B81" s="114" t="n">
        <f aca="false">IF(A81="","",'Monthly Actuals'!B10)</f>
        <v>0</v>
      </c>
      <c r="C81" s="114" t="n">
        <f aca="false">IF(A81="","",IFERROR(INDEX('Monthly Actuals'!$F10:$Y10,MATCH(Reports!$B$3,'Monthly Actuals'!$F$4:$Y$4,0)),0))</f>
        <v>0</v>
      </c>
      <c r="D81" s="199" t="n">
        <f aca="false">IF(A81="","",C81-B81)</f>
        <v>0</v>
      </c>
      <c r="E81" s="146" t="str">
        <f aca="false">IF(OR(A81="",B81=0),"",C81/B81)</f>
        <v/>
      </c>
      <c r="F81" s="156" t="str">
        <f aca="false">IF(A81="","",IF(AND(B81=0,C81&gt;0),"no budget",IF(C81&gt;B81,"over","ok")))</f>
        <v>ok</v>
      </c>
    </row>
    <row r="82" customFormat="false" ht="15" hidden="false" customHeight="false" outlineLevel="0" collapsed="false">
      <c r="A82" s="154" t="str">
        <f aca="false">'Monthly Actuals'!A11</f>
        <v>Trash / recycling</v>
      </c>
      <c r="B82" s="114" t="n">
        <f aca="false">IF(A82="","",'Monthly Actuals'!B11)</f>
        <v>0</v>
      </c>
      <c r="C82" s="114" t="n">
        <f aca="false">IF(A82="","",IFERROR(INDEX('Monthly Actuals'!$F11:$Y11,MATCH(Reports!$B$3,'Monthly Actuals'!$F$4:$Y$4,0)),0))</f>
        <v>0</v>
      </c>
      <c r="D82" s="199" t="n">
        <f aca="false">IF(A82="","",C82-B82)</f>
        <v>0</v>
      </c>
      <c r="E82" s="146" t="str">
        <f aca="false">IF(OR(A82="",B82=0),"",C82/B82)</f>
        <v/>
      </c>
      <c r="F82" s="156" t="str">
        <f aca="false">IF(A82="","",IF(AND(B82=0,C82&gt;0),"no budget",IF(C82&gt;B82,"over","ok")))</f>
        <v>ok</v>
      </c>
    </row>
    <row r="83" customFormat="false" ht="15" hidden="false" customHeight="false" outlineLevel="0" collapsed="false">
      <c r="A83" s="154" t="str">
        <f aca="false">'Monthly Actuals'!A12</f>
        <v>Internet</v>
      </c>
      <c r="B83" s="114" t="n">
        <f aca="false">IF(A83="","",'Monthly Actuals'!B12)</f>
        <v>0</v>
      </c>
      <c r="C83" s="114" t="n">
        <f aca="false">IF(A83="","",IFERROR(INDEX('Monthly Actuals'!$F12:$Y12,MATCH(Reports!$B$3,'Monthly Actuals'!$F$4:$Y$4,0)),0))</f>
        <v>0</v>
      </c>
      <c r="D83" s="199" t="n">
        <f aca="false">IF(A83="","",C83-B83)</f>
        <v>0</v>
      </c>
      <c r="E83" s="146" t="str">
        <f aca="false">IF(OR(A83="",B83=0),"",C83/B83)</f>
        <v/>
      </c>
      <c r="F83" s="156" t="str">
        <f aca="false">IF(A83="","",IF(AND(B83=0,C83&gt;0),"no budget",IF(C83&gt;B83,"over","ok")))</f>
        <v>ok</v>
      </c>
    </row>
    <row r="84" customFormat="false" ht="15" hidden="false" customHeight="false" outlineLevel="0" collapsed="false">
      <c r="A84" s="154" t="str">
        <f aca="false">'Monthly Actuals'!A13</f>
        <v>Cell phones</v>
      </c>
      <c r="B84" s="114" t="n">
        <f aca="false">IF(A84="","",'Monthly Actuals'!B13)</f>
        <v>0</v>
      </c>
      <c r="C84" s="114" t="n">
        <f aca="false">IF(A84="","",IFERROR(INDEX('Monthly Actuals'!$F13:$Y13,MATCH(Reports!$B$3,'Monthly Actuals'!$F$4:$Y$4,0)),0))</f>
        <v>0</v>
      </c>
      <c r="D84" s="199" t="n">
        <f aca="false">IF(A84="","",C84-B84)</f>
        <v>0</v>
      </c>
      <c r="E84" s="146" t="str">
        <f aca="false">IF(OR(A84="",B84=0),"",C84/B84)</f>
        <v/>
      </c>
      <c r="F84" s="156" t="str">
        <f aca="false">IF(A84="","",IF(AND(B84=0,C84&gt;0),"no budget",IF(C84&gt;B84,"over","ok")))</f>
        <v>ok</v>
      </c>
    </row>
    <row r="85" customFormat="false" ht="15" hidden="false" customHeight="false" outlineLevel="0" collapsed="false">
      <c r="A85" s="154" t="str">
        <f aca="false">'Monthly Actuals'!A14</f>
        <v>Streaming (Netflix, Spotify…)</v>
      </c>
      <c r="B85" s="114" t="n">
        <f aca="false">IF(A85="","",'Monthly Actuals'!B14)</f>
        <v>0</v>
      </c>
      <c r="C85" s="114" t="n">
        <f aca="false">IF(A85="","",IFERROR(INDEX('Monthly Actuals'!$F14:$Y14,MATCH(Reports!$B$3,'Monthly Actuals'!$F$4:$Y$4,0)),0))</f>
        <v>0</v>
      </c>
      <c r="D85" s="199" t="n">
        <f aca="false">IF(A85="","",C85-B85)</f>
        <v>0</v>
      </c>
      <c r="E85" s="146" t="str">
        <f aca="false">IF(OR(A85="",B85=0),"",C85/B85)</f>
        <v/>
      </c>
      <c r="F85" s="156" t="str">
        <f aca="false">IF(A85="","",IF(AND(B85=0,C85&gt;0),"no budget",IF(C85&gt;B85,"over","ok")))</f>
        <v>ok</v>
      </c>
    </row>
    <row r="86" customFormat="false" ht="15" hidden="false" customHeight="false" outlineLevel="0" collapsed="false">
      <c r="A86" s="154" t="str">
        <f aca="false">'Monthly Actuals'!A15</f>
        <v>Software &amp; apps</v>
      </c>
      <c r="B86" s="114" t="n">
        <f aca="false">IF(A86="","",'Monthly Actuals'!B15)</f>
        <v>0</v>
      </c>
      <c r="C86" s="114" t="n">
        <f aca="false">IF(A86="","",IFERROR(INDEX('Monthly Actuals'!$F15:$Y15,MATCH(Reports!$B$3,'Monthly Actuals'!$F$4:$Y$4,0)),0))</f>
        <v>0</v>
      </c>
      <c r="D86" s="199" t="n">
        <f aca="false">IF(A86="","",C86-B86)</f>
        <v>0</v>
      </c>
      <c r="E86" s="146" t="str">
        <f aca="false">IF(OR(A86="",B86=0),"",C86/B86)</f>
        <v/>
      </c>
      <c r="F86" s="156" t="str">
        <f aca="false">IF(A86="","",IF(AND(B86=0,C86&gt;0),"no budget",IF(C86&gt;B86,"over","ok")))</f>
        <v>ok</v>
      </c>
    </row>
    <row r="87" customFormat="false" ht="15" hidden="false" customHeight="false" outlineLevel="0" collapsed="false">
      <c r="A87" s="154" t="str">
        <f aca="false">'Monthly Actuals'!A16</f>
        <v>Car payment</v>
      </c>
      <c r="B87" s="114" t="n">
        <f aca="false">IF(A87="","",'Monthly Actuals'!B16)</f>
        <v>0</v>
      </c>
      <c r="C87" s="114" t="n">
        <f aca="false">IF(A87="","",IFERROR(INDEX('Monthly Actuals'!$F16:$Y16,MATCH(Reports!$B$3,'Monthly Actuals'!$F$4:$Y$4,0)),0))</f>
        <v>0</v>
      </c>
      <c r="D87" s="199" t="n">
        <f aca="false">IF(A87="","",C87-B87)</f>
        <v>0</v>
      </c>
      <c r="E87" s="146" t="str">
        <f aca="false">IF(OR(A87="",B87=0),"",C87/B87)</f>
        <v/>
      </c>
      <c r="F87" s="156" t="str">
        <f aca="false">IF(A87="","",IF(AND(B87=0,C87&gt;0),"no budget",IF(C87&gt;B87,"over","ok")))</f>
        <v>ok</v>
      </c>
    </row>
    <row r="88" customFormat="false" ht="15" hidden="false" customHeight="false" outlineLevel="0" collapsed="false">
      <c r="A88" s="154" t="str">
        <f aca="false">'Monthly Actuals'!A17</f>
        <v>Car insurance</v>
      </c>
      <c r="B88" s="114" t="n">
        <f aca="false">IF(A88="","",'Monthly Actuals'!B17)</f>
        <v>0</v>
      </c>
      <c r="C88" s="114" t="n">
        <f aca="false">IF(A88="","",IFERROR(INDEX('Monthly Actuals'!$F17:$Y17,MATCH(Reports!$B$3,'Monthly Actuals'!$F$4:$Y$4,0)),0))</f>
        <v>0</v>
      </c>
      <c r="D88" s="199" t="n">
        <f aca="false">IF(A88="","",C88-B88)</f>
        <v>0</v>
      </c>
      <c r="E88" s="146" t="str">
        <f aca="false">IF(OR(A88="",B88=0),"",C88/B88)</f>
        <v/>
      </c>
      <c r="F88" s="156" t="str">
        <f aca="false">IF(A88="","",IF(AND(B88=0,C88&gt;0),"no budget",IF(C88&gt;B88,"over","ok")))</f>
        <v>ok</v>
      </c>
    </row>
    <row r="89" customFormat="false" ht="15" hidden="false" customHeight="false" outlineLevel="0" collapsed="false">
      <c r="A89" s="154" t="str">
        <f aca="false">'Monthly Actuals'!A18</f>
        <v>Fuel</v>
      </c>
      <c r="B89" s="114" t="n">
        <f aca="false">IF(A89="","",'Monthly Actuals'!B18)</f>
        <v>0</v>
      </c>
      <c r="C89" s="114" t="n">
        <f aca="false">IF(A89="","",IFERROR(INDEX('Monthly Actuals'!$F18:$Y18,MATCH(Reports!$B$3,'Monthly Actuals'!$F$4:$Y$4,0)),0))</f>
        <v>0</v>
      </c>
      <c r="D89" s="199" t="n">
        <f aca="false">IF(A89="","",C89-B89)</f>
        <v>0</v>
      </c>
      <c r="E89" s="146" t="str">
        <f aca="false">IF(OR(A89="",B89=0),"",C89/B89)</f>
        <v/>
      </c>
      <c r="F89" s="156" t="str">
        <f aca="false">IF(A89="","",IF(AND(B89=0,C89&gt;0),"no budget",IF(C89&gt;B89,"over","ok")))</f>
        <v>ok</v>
      </c>
    </row>
    <row r="90" customFormat="false" ht="15" hidden="false" customHeight="false" outlineLevel="0" collapsed="false">
      <c r="A90" s="154" t="str">
        <f aca="false">'Monthly Actuals'!A19</f>
        <v>Parking &amp; tolls</v>
      </c>
      <c r="B90" s="114" t="n">
        <f aca="false">IF(A90="","",'Monthly Actuals'!B19)</f>
        <v>0</v>
      </c>
      <c r="C90" s="114" t="n">
        <f aca="false">IF(A90="","",IFERROR(INDEX('Monthly Actuals'!$F19:$Y19,MATCH(Reports!$B$3,'Monthly Actuals'!$F$4:$Y$4,0)),0))</f>
        <v>0</v>
      </c>
      <c r="D90" s="199" t="n">
        <f aca="false">IF(A90="","",C90-B90)</f>
        <v>0</v>
      </c>
      <c r="E90" s="146" t="str">
        <f aca="false">IF(OR(A90="",B90=0),"",C90/B90)</f>
        <v/>
      </c>
      <c r="F90" s="156" t="str">
        <f aca="false">IF(A90="","",IF(AND(B90=0,C90&gt;0),"no budget",IF(C90&gt;B90,"over","ok")))</f>
        <v>ok</v>
      </c>
    </row>
    <row r="91" customFormat="false" ht="15" hidden="false" customHeight="false" outlineLevel="0" collapsed="false">
      <c r="A91" s="154" t="str">
        <f aca="false">'Monthly Actuals'!A20</f>
        <v>Groceries &amp; household</v>
      </c>
      <c r="B91" s="114" t="n">
        <f aca="false">IF(A91="","",'Monthly Actuals'!B20)</f>
        <v>0</v>
      </c>
      <c r="C91" s="114" t="n">
        <f aca="false">IF(A91="","",IFERROR(INDEX('Monthly Actuals'!$F20:$Y20,MATCH(Reports!$B$3,'Monthly Actuals'!$F$4:$Y$4,0)),0))</f>
        <v>86.42</v>
      </c>
      <c r="D91" s="199" t="n">
        <f aca="false">IF(A91="","",C91-B91)</f>
        <v>86.42</v>
      </c>
      <c r="E91" s="146" t="str">
        <f aca="false">IF(OR(A91="",B91=0),"",C91/B91)</f>
        <v/>
      </c>
      <c r="F91" s="156" t="str">
        <f aca="false">IF(A91="","",IF(AND(B91=0,C91&gt;0),"no budget",IF(C91&gt;B91,"over","ok")))</f>
        <v>no budget</v>
      </c>
    </row>
    <row r="92" customFormat="false" ht="15" hidden="false" customHeight="false" outlineLevel="0" collapsed="false">
      <c r="A92" s="154" t="str">
        <f aca="false">'Monthly Actuals'!A21</f>
        <v>Dining out</v>
      </c>
      <c r="B92" s="114" t="n">
        <f aca="false">IF(A92="","",'Monthly Actuals'!B21)</f>
        <v>0</v>
      </c>
      <c r="C92" s="114" t="n">
        <f aca="false">IF(A92="","",IFERROR(INDEX('Monthly Actuals'!$F21:$Y21,MATCH(Reports!$B$3,'Monthly Actuals'!$F$4:$Y$4,0)),0))</f>
        <v>0</v>
      </c>
      <c r="D92" s="199" t="n">
        <f aca="false">IF(A92="","",C92-B92)</f>
        <v>0</v>
      </c>
      <c r="E92" s="146" t="str">
        <f aca="false">IF(OR(A92="",B92=0),"",C92/B92)</f>
        <v/>
      </c>
      <c r="F92" s="156" t="str">
        <f aca="false">IF(A92="","",IF(AND(B92=0,C92&gt;0),"no budget",IF(C92&gt;B92,"over","ok")))</f>
        <v>ok</v>
      </c>
    </row>
    <row r="93" customFormat="false" ht="15" hidden="false" customHeight="false" outlineLevel="0" collapsed="false">
      <c r="A93" s="154" t="str">
        <f aca="false">'Monthly Actuals'!A22</f>
        <v>Health insurance premium</v>
      </c>
      <c r="B93" s="114" t="n">
        <f aca="false">IF(A93="","",'Monthly Actuals'!B22)</f>
        <v>0</v>
      </c>
      <c r="C93" s="114" t="n">
        <f aca="false">IF(A93="","",IFERROR(INDEX('Monthly Actuals'!$F22:$Y22,MATCH(Reports!$B$3,'Monthly Actuals'!$F$4:$Y$4,0)),0))</f>
        <v>0</v>
      </c>
      <c r="D93" s="199" t="n">
        <f aca="false">IF(A93="","",C93-B93)</f>
        <v>0</v>
      </c>
      <c r="E93" s="146" t="str">
        <f aca="false">IF(OR(A93="",B93=0),"",C93/B93)</f>
        <v/>
      </c>
      <c r="F93" s="156" t="str">
        <f aca="false">IF(A93="","",IF(AND(B93=0,C93&gt;0),"no budget",IF(C93&gt;B93,"over","ok")))</f>
        <v>ok</v>
      </c>
    </row>
    <row r="94" customFormat="false" ht="15" hidden="false" customHeight="false" outlineLevel="0" collapsed="false">
      <c r="A94" s="154" t="str">
        <f aca="false">'Monthly Actuals'!A23</f>
        <v>Doctor &amp; dental</v>
      </c>
      <c r="B94" s="114" t="n">
        <f aca="false">IF(A94="","",'Monthly Actuals'!B23)</f>
        <v>0</v>
      </c>
      <c r="C94" s="114" t="n">
        <f aca="false">IF(A94="","",IFERROR(INDEX('Monthly Actuals'!$F23:$Y23,MATCH(Reports!$B$3,'Monthly Actuals'!$F$4:$Y$4,0)),0))</f>
        <v>0</v>
      </c>
      <c r="D94" s="199" t="n">
        <f aca="false">IF(A94="","",C94-B94)</f>
        <v>0</v>
      </c>
      <c r="E94" s="146" t="str">
        <f aca="false">IF(OR(A94="",B94=0),"",C94/B94)</f>
        <v/>
      </c>
      <c r="F94" s="156" t="str">
        <f aca="false">IF(A94="","",IF(AND(B94=0,C94&gt;0),"no budget",IF(C94&gt;B94,"over","ok")))</f>
        <v>ok</v>
      </c>
    </row>
    <row r="95" customFormat="false" ht="15" hidden="false" customHeight="false" outlineLevel="0" collapsed="false">
      <c r="A95" s="154" t="str">
        <f aca="false">'Monthly Actuals'!A24</f>
        <v>Prescriptions</v>
      </c>
      <c r="B95" s="114" t="n">
        <f aca="false">IF(A95="","",'Monthly Actuals'!B24)</f>
        <v>0</v>
      </c>
      <c r="C95" s="114" t="n">
        <f aca="false">IF(A95="","",IFERROR(INDEX('Monthly Actuals'!$F24:$Y24,MATCH(Reports!$B$3,'Monthly Actuals'!$F$4:$Y$4,0)),0))</f>
        <v>0</v>
      </c>
      <c r="D95" s="199" t="n">
        <f aca="false">IF(A95="","",C95-B95)</f>
        <v>0</v>
      </c>
      <c r="E95" s="146" t="str">
        <f aca="false">IF(OR(A95="",B95=0),"",C95/B95)</f>
        <v/>
      </c>
      <c r="F95" s="156" t="str">
        <f aca="false">IF(A95="","",IF(AND(B95=0,C95&gt;0),"no budget",IF(C95&gt;B95,"over","ok")))</f>
        <v>ok</v>
      </c>
    </row>
    <row r="96" customFormat="false" ht="15" hidden="false" customHeight="false" outlineLevel="0" collapsed="false">
      <c r="A96" s="154" t="str">
        <f aca="false">'Monthly Actuals'!A25</f>
        <v>Gym / fitness</v>
      </c>
      <c r="B96" s="114" t="n">
        <f aca="false">IF(A96="","",'Monthly Actuals'!B25)</f>
        <v>0</v>
      </c>
      <c r="C96" s="114" t="n">
        <f aca="false">IF(A96="","",IFERROR(INDEX('Monthly Actuals'!$F25:$Y25,MATCH(Reports!$B$3,'Monthly Actuals'!$F$4:$Y$4,0)),0))</f>
        <v>0</v>
      </c>
      <c r="D96" s="199" t="n">
        <f aca="false">IF(A96="","",C96-B96)</f>
        <v>0</v>
      </c>
      <c r="E96" s="146" t="str">
        <f aca="false">IF(OR(A96="",B96=0),"",C96/B96)</f>
        <v/>
      </c>
      <c r="F96" s="156" t="str">
        <f aca="false">IF(A96="","",IF(AND(B96=0,C96&gt;0),"no budget",IF(C96&gt;B96,"over","ok")))</f>
        <v>ok</v>
      </c>
    </row>
    <row r="97" customFormat="false" ht="15" hidden="false" customHeight="false" outlineLevel="0" collapsed="false">
      <c r="A97" s="154" t="str">
        <f aca="false">'Monthly Actuals'!A26</f>
        <v>Childcare / daycare</v>
      </c>
      <c r="B97" s="114" t="n">
        <f aca="false">IF(A97="","",'Monthly Actuals'!B26)</f>
        <v>0</v>
      </c>
      <c r="C97" s="114" t="n">
        <f aca="false">IF(A97="","",IFERROR(INDEX('Monthly Actuals'!$F26:$Y26,MATCH(Reports!$B$3,'Monthly Actuals'!$F$4:$Y$4,0)),0))</f>
        <v>0</v>
      </c>
      <c r="D97" s="199" t="n">
        <f aca="false">IF(A97="","",C97-B97)</f>
        <v>0</v>
      </c>
      <c r="E97" s="146" t="str">
        <f aca="false">IF(OR(A97="",B97=0),"",C97/B97)</f>
        <v/>
      </c>
      <c r="F97" s="156" t="str">
        <f aca="false">IF(A97="","",IF(AND(B97=0,C97&gt;0),"no budget",IF(C97&gt;B97,"over","ok")))</f>
        <v>ok</v>
      </c>
    </row>
    <row r="98" customFormat="false" ht="15" hidden="false" customHeight="false" outlineLevel="0" collapsed="false">
      <c r="A98" s="154" t="str">
        <f aca="false">'Monthly Actuals'!A27</f>
        <v>Family support (sent abroad)</v>
      </c>
      <c r="B98" s="114" t="n">
        <f aca="false">IF(A98="","",'Monthly Actuals'!B27)</f>
        <v>0</v>
      </c>
      <c r="C98" s="114" t="n">
        <f aca="false">IF(A98="","",IFERROR(INDEX('Monthly Actuals'!$F27:$Y27,MATCH(Reports!$B$3,'Monthly Actuals'!$F$4:$Y$4,0)),0))</f>
        <v>0</v>
      </c>
      <c r="D98" s="199" t="n">
        <f aca="false">IF(A98="","",C98-B98)</f>
        <v>0</v>
      </c>
      <c r="E98" s="146" t="str">
        <f aca="false">IF(OR(A98="",B98=0),"",C98/B98)</f>
        <v/>
      </c>
      <c r="F98" s="156" t="str">
        <f aca="false">IF(A98="","",IF(AND(B98=0,C98&gt;0),"no budget",IF(C98&gt;B98,"over","ok")))</f>
        <v>ok</v>
      </c>
    </row>
    <row r="99" customFormat="false" ht="15" hidden="false" customHeight="false" outlineLevel="0" collapsed="false">
      <c r="A99" s="154" t="str">
        <f aca="false">'Monthly Actuals'!A28</f>
        <v>Pets</v>
      </c>
      <c r="B99" s="114" t="n">
        <f aca="false">IF(A99="","",'Monthly Actuals'!B28)</f>
        <v>0</v>
      </c>
      <c r="C99" s="114" t="n">
        <f aca="false">IF(A99="","",IFERROR(INDEX('Monthly Actuals'!$F28:$Y28,MATCH(Reports!$B$3,'Monthly Actuals'!$F$4:$Y$4,0)),0))</f>
        <v>0</v>
      </c>
      <c r="D99" s="199" t="n">
        <f aca="false">IF(A99="","",C99-B99)</f>
        <v>0</v>
      </c>
      <c r="E99" s="146" t="str">
        <f aca="false">IF(OR(A99="",B99=0),"",C99/B99)</f>
        <v/>
      </c>
      <c r="F99" s="156" t="str">
        <f aca="false">IF(A99="","",IF(AND(B99=0,C99&gt;0),"no budget",IF(C99&gt;B99,"over","ok")))</f>
        <v>ok</v>
      </c>
    </row>
    <row r="100" customFormat="false" ht="15" hidden="false" customHeight="false" outlineLevel="0" collapsed="false">
      <c r="A100" s="154" t="str">
        <f aca="false">'Monthly Actuals'!A29</f>
        <v>Clothing &amp; shoes</v>
      </c>
      <c r="B100" s="114" t="n">
        <f aca="false">IF(A100="","",'Monthly Actuals'!B29)</f>
        <v>0</v>
      </c>
      <c r="C100" s="114" t="n">
        <f aca="false">IF(A100="","",IFERROR(INDEX('Monthly Actuals'!$F29:$Y29,MATCH(Reports!$B$3,'Monthly Actuals'!$F$4:$Y$4,0)),0))</f>
        <v>0</v>
      </c>
      <c r="D100" s="199" t="n">
        <f aca="false">IF(A100="","",C100-B100)</f>
        <v>0</v>
      </c>
      <c r="E100" s="146" t="str">
        <f aca="false">IF(OR(A100="",B100=0),"",C100/B100)</f>
        <v/>
      </c>
      <c r="F100" s="156" t="str">
        <f aca="false">IF(A100="","",IF(AND(B100=0,C100&gt;0),"no budget",IF(C100&gt;B100,"over","ok")))</f>
        <v>ok</v>
      </c>
    </row>
    <row r="101" customFormat="false" ht="15" hidden="false" customHeight="false" outlineLevel="0" collapsed="false">
      <c r="A101" s="154" t="str">
        <f aca="false">'Monthly Actuals'!A30</f>
        <v>Entertainment &amp; hobbies</v>
      </c>
      <c r="B101" s="114" t="n">
        <f aca="false">IF(A101="","",'Monthly Actuals'!B30)</f>
        <v>0</v>
      </c>
      <c r="C101" s="114" t="n">
        <f aca="false">IF(A101="","",IFERROR(INDEX('Monthly Actuals'!$F30:$Y30,MATCH(Reports!$B$3,'Monthly Actuals'!$F$4:$Y$4,0)),0))</f>
        <v>0</v>
      </c>
      <c r="D101" s="199" t="n">
        <f aca="false">IF(A101="","",C101-B101)</f>
        <v>0</v>
      </c>
      <c r="E101" s="146" t="str">
        <f aca="false">IF(OR(A101="",B101=0),"",C101/B101)</f>
        <v/>
      </c>
      <c r="F101" s="156" t="str">
        <f aca="false">IF(A101="","",IF(AND(B101=0,C101&gt;0),"no budget",IF(C101&gt;B101,"over","ok")))</f>
        <v>ok</v>
      </c>
    </row>
    <row r="102" customFormat="false" ht="15" hidden="false" customHeight="false" outlineLevel="0" collapsed="false">
      <c r="A102" s="154" t="str">
        <f aca="false">'Monthly Actuals'!A31</f>
        <v>Gifts</v>
      </c>
      <c r="B102" s="114" t="n">
        <f aca="false">IF(A102="","",'Monthly Actuals'!B31)</f>
        <v>0</v>
      </c>
      <c r="C102" s="114" t="n">
        <f aca="false">IF(A102="","",IFERROR(INDEX('Monthly Actuals'!$F31:$Y31,MATCH(Reports!$B$3,'Monthly Actuals'!$F$4:$Y$4,0)),0))</f>
        <v>0</v>
      </c>
      <c r="D102" s="199" t="n">
        <f aca="false">IF(A102="","",C102-B102)</f>
        <v>0</v>
      </c>
      <c r="E102" s="146" t="str">
        <f aca="false">IF(OR(A102="",B102=0),"",C102/B102)</f>
        <v/>
      </c>
      <c r="F102" s="156" t="str">
        <f aca="false">IF(A102="","",IF(AND(B102=0,C102&gt;0),"no budget",IF(C102&gt;B102,"over","ok")))</f>
        <v>ok</v>
      </c>
    </row>
    <row r="103" customFormat="false" ht="15" hidden="false" customHeight="false" outlineLevel="0" collapsed="false">
      <c r="A103" s="154" t="str">
        <f aca="false">'Monthly Actuals'!A32</f>
        <v>Credit-card payment</v>
      </c>
      <c r="B103" s="114" t="n">
        <f aca="false">IF(A103="","",'Monthly Actuals'!B32)</f>
        <v>0</v>
      </c>
      <c r="C103" s="114" t="n">
        <f aca="false">IF(A103="","",IFERROR(INDEX('Monthly Actuals'!$F32:$Y32,MATCH(Reports!$B$3,'Monthly Actuals'!$F$4:$Y$4,0)),0))</f>
        <v>0</v>
      </c>
      <c r="D103" s="199" t="n">
        <f aca="false">IF(A103="","",C103-B103)</f>
        <v>0</v>
      </c>
      <c r="E103" s="146" t="str">
        <f aca="false">IF(OR(A103="",B103=0),"",C103/B103)</f>
        <v/>
      </c>
      <c r="F103" s="156" t="str">
        <f aca="false">IF(A103="","",IF(AND(B103=0,C103&gt;0),"no budget",IF(C103&gt;B103,"over","ok")))</f>
        <v>ok</v>
      </c>
    </row>
    <row r="104" customFormat="false" ht="15" hidden="false" customHeight="false" outlineLevel="0" collapsed="false">
      <c r="A104" s="154" t="str">
        <f aca="false">'Monthly Actuals'!A33</f>
        <v>Student loan</v>
      </c>
      <c r="B104" s="114" t="n">
        <f aca="false">IF(A104="","",'Monthly Actuals'!B33)</f>
        <v>0</v>
      </c>
      <c r="C104" s="114" t="n">
        <f aca="false">IF(A104="","",IFERROR(INDEX('Monthly Actuals'!$F33:$Y33,MATCH(Reports!$B$3,'Monthly Actuals'!$F$4:$Y$4,0)),0))</f>
        <v>0</v>
      </c>
      <c r="D104" s="199" t="n">
        <f aca="false">IF(A104="","",C104-B104)</f>
        <v>0</v>
      </c>
      <c r="E104" s="146" t="str">
        <f aca="false">IF(OR(A104="",B104=0),"",C104/B104)</f>
        <v/>
      </c>
      <c r="F104" s="156" t="str">
        <f aca="false">IF(A104="","",IF(AND(B104=0,C104&gt;0),"no budget",IF(C104&gt;B104,"over","ok")))</f>
        <v>ok</v>
      </c>
    </row>
    <row r="105" customFormat="false" ht="15" hidden="false" customHeight="false" outlineLevel="0" collapsed="false">
      <c r="A105" s="154" t="str">
        <f aca="false">'Monthly Actuals'!A34</f>
        <v>Unplanned / other</v>
      </c>
      <c r="B105" s="114" t="n">
        <f aca="false">IF(A105="","",'Monthly Actuals'!B34)</f>
        <v>0</v>
      </c>
      <c r="C105" s="114" t="n">
        <f aca="false">IF(A105="","",IFERROR(INDEX('Monthly Actuals'!$F34:$Y34,MATCH(Reports!$B$3,'Monthly Actuals'!$F$4:$Y$4,0)),0))</f>
        <v>0</v>
      </c>
      <c r="D105" s="199" t="n">
        <f aca="false">IF(A105="","",C105-B105)</f>
        <v>0</v>
      </c>
      <c r="E105" s="146" t="str">
        <f aca="false">IF(OR(A105="",B105=0),"",C105/B105)</f>
        <v/>
      </c>
      <c r="F105" s="156" t="str">
        <f aca="false">IF(A105="","",IF(AND(B105=0,C105&gt;0),"no budget",IF(C105&gt;B105,"over","ok")))</f>
        <v>ok</v>
      </c>
    </row>
    <row r="106" customFormat="false" ht="15" hidden="false" customHeight="false" outlineLevel="0" collapsed="false">
      <c r="A106" s="154" t="str">
        <f aca="false">'Monthly Actuals'!A35</f>
        <v>Uncategorized</v>
      </c>
      <c r="B106" s="114" t="n">
        <f aca="false">IF(A106="","",'Monthly Actuals'!B35)</f>
        <v>0</v>
      </c>
      <c r="C106" s="114" t="n">
        <f aca="false">IF(A106="","",IFERROR(INDEX('Monthly Actuals'!$F35:$Y35,MATCH(Reports!$B$3,'Monthly Actuals'!$F$4:$Y$4,0)),0))</f>
        <v>0</v>
      </c>
      <c r="D106" s="199" t="n">
        <f aca="false">IF(A106="","",C106-B106)</f>
        <v>0</v>
      </c>
      <c r="E106" s="146" t="str">
        <f aca="false">IF(OR(A106="",B106=0),"",C106/B106)</f>
        <v/>
      </c>
      <c r="F106" s="156" t="str">
        <f aca="false">IF(A106="","",IF(AND(B106=0,C106&gt;0),"no budget",IF(C106&gt;B106,"over","ok")))</f>
        <v>ok</v>
      </c>
    </row>
    <row r="107" customFormat="false" ht="15" hidden="false" customHeight="false" outlineLevel="0" collapsed="false">
      <c r="A107" s="151" t="s">
        <v>723</v>
      </c>
      <c r="B107" s="152" t="n">
        <f aca="false">SUM(B76:B106)</f>
        <v>0</v>
      </c>
      <c r="C107" s="152" t="n">
        <f aca="false">SUM(C76:C106)</f>
        <v>86.42</v>
      </c>
      <c r="D107" s="200" t="n">
        <f aca="false">SUM(D76:D106)</f>
        <v>86.42</v>
      </c>
      <c r="E107" s="153" t="str">
        <f aca="false">IF(B107=0,"",C107/B107)</f>
        <v/>
      </c>
      <c r="F107" s="155"/>
    </row>
    <row r="110" customFormat="false" ht="18.75" hidden="false" customHeight="true" outlineLevel="0" collapsed="false">
      <c r="A110" s="56" t="s">
        <v>1275</v>
      </c>
      <c r="B110" s="3"/>
      <c r="C110" s="3"/>
      <c r="D110" s="3"/>
      <c r="E110" s="3"/>
      <c r="F110" s="3"/>
      <c r="G110" s="3"/>
    </row>
    <row r="111" customFormat="false" ht="19.5" hidden="false" customHeight="true" outlineLevel="0" collapsed="false">
      <c r="A111" s="107" t="s">
        <v>1114</v>
      </c>
      <c r="B111" s="107" t="s">
        <v>81</v>
      </c>
      <c r="C111" s="107" t="s">
        <v>808</v>
      </c>
      <c r="D111" s="107" t="s">
        <v>1276</v>
      </c>
      <c r="E111" s="107" t="s">
        <v>1277</v>
      </c>
      <c r="F111" s="107" t="s">
        <v>1278</v>
      </c>
      <c r="G111" s="107" t="s">
        <v>1279</v>
      </c>
    </row>
    <row r="112" customFormat="false" ht="15" hidden="false" customHeight="false" outlineLevel="0" collapsed="false">
      <c r="A112" s="154" t="str">
        <f aca="false">IF(AND('Debts &amp; Credit'!A5&lt;&gt;"",N('Debts &amp; Credit'!D5)&gt;0),'Debts &amp; Credit'!A5,"")</f>
        <v/>
      </c>
      <c r="B112" s="114" t="str">
        <f aca="false">IF(A112="","",'Debts &amp; Credit'!P5)</f>
        <v/>
      </c>
      <c r="C112" s="203" t="str">
        <f aca="false">IF(A112="","",N('Debts &amp; Credit'!H5))</f>
        <v/>
      </c>
      <c r="D112" s="114" t="str">
        <f aca="false">IF(A112="","",N('Debts &amp; Credit'!R5)+SUMPRODUCT(('Debts &amp; Credit'!$A$35:$A$41=A112)*'Debts &amp; Credit'!$C$35:$V$41)/20)</f>
        <v/>
      </c>
      <c r="E112" s="157" t="str">
        <f aca="false">IF(A112="","",IF(D112&lt;=0,"no payment",IF(C112=0,ROUNDUP(B112/D112,0),IFERROR(ROUNDUP(NPER(C112/12,-D112,B112),0),"never at this payment"))))</f>
        <v/>
      </c>
      <c r="F112" s="147" t="str">
        <f aca="false">IF(OR(A112="",NOT(ISNUMBER(E112))),"",MAX(0,D112*E112-B112))</f>
        <v/>
      </c>
      <c r="G112" s="205" t="str">
        <f aca="false">IF(OR(A112="",NOT(ISNUMBER(E112))),"",EDATE(Inputs!$B$5,E112))</f>
        <v/>
      </c>
    </row>
    <row r="113" customFormat="false" ht="15" hidden="false" customHeight="false" outlineLevel="0" collapsed="false">
      <c r="A113" s="154" t="str">
        <f aca="false">IF(AND('Debts &amp; Credit'!A6&lt;&gt;"",N('Debts &amp; Credit'!D6)&gt;0),'Debts &amp; Credit'!A6,"")</f>
        <v/>
      </c>
      <c r="B113" s="114" t="str">
        <f aca="false">IF(A113="","",'Debts &amp; Credit'!P6)</f>
        <v/>
      </c>
      <c r="C113" s="203" t="str">
        <f aca="false">IF(A113="","",N('Debts &amp; Credit'!H6))</f>
        <v/>
      </c>
      <c r="D113" s="114" t="str">
        <f aca="false">IF(A113="","",N('Debts &amp; Credit'!R6)+SUMPRODUCT(('Debts &amp; Credit'!$A$35:$A$41=A113)*'Debts &amp; Credit'!$C$35:$V$41)/20)</f>
        <v/>
      </c>
      <c r="E113" s="157" t="str">
        <f aca="false">IF(A113="","",IF(D113&lt;=0,"no payment",IF(C113=0,ROUNDUP(B113/D113,0),IFERROR(ROUNDUP(NPER(C113/12,-D113,B113),0),"never at this payment"))))</f>
        <v/>
      </c>
      <c r="F113" s="147" t="str">
        <f aca="false">IF(OR(A113="",NOT(ISNUMBER(E113))),"",MAX(0,D113*E113-B113))</f>
        <v/>
      </c>
      <c r="G113" s="205" t="str">
        <f aca="false">IF(OR(A113="",NOT(ISNUMBER(E113))),"",EDATE(Inputs!$B$5,E113))</f>
        <v/>
      </c>
    </row>
    <row r="114" customFormat="false" ht="15" hidden="false" customHeight="false" outlineLevel="0" collapsed="false">
      <c r="A114" s="154" t="str">
        <f aca="false">IF(AND('Debts &amp; Credit'!A7&lt;&gt;"",N('Debts &amp; Credit'!D7)&gt;0),'Debts &amp; Credit'!A7,"")</f>
        <v/>
      </c>
      <c r="B114" s="114" t="str">
        <f aca="false">IF(A114="","",'Debts &amp; Credit'!P7)</f>
        <v/>
      </c>
      <c r="C114" s="203" t="str">
        <f aca="false">IF(A114="","",N('Debts &amp; Credit'!H7))</f>
        <v/>
      </c>
      <c r="D114" s="114" t="str">
        <f aca="false">IF(A114="","",N('Debts &amp; Credit'!R7)+SUMPRODUCT(('Debts &amp; Credit'!$A$35:$A$41=A114)*'Debts &amp; Credit'!$C$35:$V$41)/20)</f>
        <v/>
      </c>
      <c r="E114" s="157" t="str">
        <f aca="false">IF(A114="","",IF(D114&lt;=0,"no payment",IF(C114=0,ROUNDUP(B114/D114,0),IFERROR(ROUNDUP(NPER(C114/12,-D114,B114),0),"never at this payment"))))</f>
        <v/>
      </c>
      <c r="F114" s="147" t="str">
        <f aca="false">IF(OR(A114="",NOT(ISNUMBER(E114))),"",MAX(0,D114*E114-B114))</f>
        <v/>
      </c>
      <c r="G114" s="205" t="str">
        <f aca="false">IF(OR(A114="",NOT(ISNUMBER(E114))),"",EDATE(Inputs!$B$5,E114))</f>
        <v/>
      </c>
    </row>
    <row r="115" customFormat="false" ht="15" hidden="false" customHeight="false" outlineLevel="0" collapsed="false">
      <c r="A115" s="154" t="str">
        <f aca="false">IF(AND('Debts &amp; Credit'!A8&lt;&gt;"",N('Debts &amp; Credit'!D8)&gt;0),'Debts &amp; Credit'!A8,"")</f>
        <v/>
      </c>
      <c r="B115" s="114" t="str">
        <f aca="false">IF(A115="","",'Debts &amp; Credit'!P8)</f>
        <v/>
      </c>
      <c r="C115" s="203" t="str">
        <f aca="false">IF(A115="","",N('Debts &amp; Credit'!H8))</f>
        <v/>
      </c>
      <c r="D115" s="114" t="str">
        <f aca="false">IF(A115="","",N('Debts &amp; Credit'!R8)+SUMPRODUCT(('Debts &amp; Credit'!$A$35:$A$41=A115)*'Debts &amp; Credit'!$C$35:$V$41)/20)</f>
        <v/>
      </c>
      <c r="E115" s="157" t="str">
        <f aca="false">IF(A115="","",IF(D115&lt;=0,"no payment",IF(C115=0,ROUNDUP(B115/D115,0),IFERROR(ROUNDUP(NPER(C115/12,-D115,B115),0),"never at this payment"))))</f>
        <v/>
      </c>
      <c r="F115" s="147" t="str">
        <f aca="false">IF(OR(A115="",NOT(ISNUMBER(E115))),"",MAX(0,D115*E115-B115))</f>
        <v/>
      </c>
      <c r="G115" s="205" t="str">
        <f aca="false">IF(OR(A115="",NOT(ISNUMBER(E115))),"",EDATE(Inputs!$B$5,E115))</f>
        <v/>
      </c>
    </row>
    <row r="116" customFormat="false" ht="15" hidden="false" customHeight="false" outlineLevel="0" collapsed="false">
      <c r="A116" s="154" t="str">
        <f aca="false">IF(AND('Debts &amp; Credit'!A9&lt;&gt;"",N('Debts &amp; Credit'!D9)&gt;0),'Debts &amp; Credit'!A9,"")</f>
        <v/>
      </c>
      <c r="B116" s="114" t="str">
        <f aca="false">IF(A116="","",'Debts &amp; Credit'!P9)</f>
        <v/>
      </c>
      <c r="C116" s="203" t="str">
        <f aca="false">IF(A116="","",N('Debts &amp; Credit'!H9))</f>
        <v/>
      </c>
      <c r="D116" s="114" t="str">
        <f aca="false">IF(A116="","",N('Debts &amp; Credit'!R9)+SUMPRODUCT(('Debts &amp; Credit'!$A$35:$A$41=A116)*'Debts &amp; Credit'!$C$35:$V$41)/20)</f>
        <v/>
      </c>
      <c r="E116" s="157" t="str">
        <f aca="false">IF(A116="","",IF(D116&lt;=0,"no payment",IF(C116=0,ROUNDUP(B116/D116,0),IFERROR(ROUNDUP(NPER(C116/12,-D116,B116),0),"never at this payment"))))</f>
        <v/>
      </c>
      <c r="F116" s="147" t="str">
        <f aca="false">IF(OR(A116="",NOT(ISNUMBER(E116))),"",MAX(0,D116*E116-B116))</f>
        <v/>
      </c>
      <c r="G116" s="205" t="str">
        <f aca="false">IF(OR(A116="",NOT(ISNUMBER(E116))),"",EDATE(Inputs!$B$5,E116))</f>
        <v/>
      </c>
    </row>
    <row r="117" customFormat="false" ht="15" hidden="false" customHeight="false" outlineLevel="0" collapsed="false">
      <c r="A117" s="154" t="str">
        <f aca="false">IF(AND('Debts &amp; Credit'!A10&lt;&gt;"",N('Debts &amp; Credit'!D10)&gt;0),'Debts &amp; Credit'!A10,"")</f>
        <v/>
      </c>
      <c r="B117" s="114" t="str">
        <f aca="false">IF(A117="","",'Debts &amp; Credit'!P10)</f>
        <v/>
      </c>
      <c r="C117" s="203" t="str">
        <f aca="false">IF(A117="","",N('Debts &amp; Credit'!H10))</f>
        <v/>
      </c>
      <c r="D117" s="114" t="str">
        <f aca="false">IF(A117="","",N('Debts &amp; Credit'!R10)+SUMPRODUCT(('Debts &amp; Credit'!$A$35:$A$41=A117)*'Debts &amp; Credit'!$C$35:$V$41)/20)</f>
        <v/>
      </c>
      <c r="E117" s="157" t="str">
        <f aca="false">IF(A117="","",IF(D117&lt;=0,"no payment",IF(C117=0,ROUNDUP(B117/D117,0),IFERROR(ROUNDUP(NPER(C117/12,-D117,B117),0),"never at this payment"))))</f>
        <v/>
      </c>
      <c r="F117" s="147" t="str">
        <f aca="false">IF(OR(A117="",NOT(ISNUMBER(E117))),"",MAX(0,D117*E117-B117))</f>
        <v/>
      </c>
      <c r="G117" s="205" t="str">
        <f aca="false">IF(OR(A117="",NOT(ISNUMBER(E117))),"",EDATE(Inputs!$B$5,E117))</f>
        <v/>
      </c>
    </row>
    <row r="118" customFormat="false" ht="15" hidden="false" customHeight="false" outlineLevel="0" collapsed="false">
      <c r="A118" s="154" t="str">
        <f aca="false">IF(AND('Debts &amp; Credit'!A11&lt;&gt;"",N('Debts &amp; Credit'!D11)&gt;0),'Debts &amp; Credit'!A11,"")</f>
        <v/>
      </c>
      <c r="B118" s="114" t="str">
        <f aca="false">IF(A118="","",'Debts &amp; Credit'!P11)</f>
        <v/>
      </c>
      <c r="C118" s="203" t="str">
        <f aca="false">IF(A118="","",N('Debts &amp; Credit'!H11))</f>
        <v/>
      </c>
      <c r="D118" s="114" t="str">
        <f aca="false">IF(A118="","",N('Debts &amp; Credit'!R11)+SUMPRODUCT(('Debts &amp; Credit'!$A$35:$A$41=A118)*'Debts &amp; Credit'!$C$35:$V$41)/20)</f>
        <v/>
      </c>
      <c r="E118" s="157" t="str">
        <f aca="false">IF(A118="","",IF(D118&lt;=0,"no payment",IF(C118=0,ROUNDUP(B118/D118,0),IFERROR(ROUNDUP(NPER(C118/12,-D118,B118),0),"never at this payment"))))</f>
        <v/>
      </c>
      <c r="F118" s="147" t="str">
        <f aca="false">IF(OR(A118="",NOT(ISNUMBER(E118))),"",MAX(0,D118*E118-B118))</f>
        <v/>
      </c>
      <c r="G118" s="205" t="str">
        <f aca="false">IF(OR(A118="",NOT(ISNUMBER(E118))),"",EDATE(Inputs!$B$5,E118))</f>
        <v/>
      </c>
    </row>
    <row r="119" customFormat="false" ht="15" hidden="false" customHeight="false" outlineLevel="0" collapsed="false">
      <c r="A119" s="154" t="str">
        <f aca="false">IF(AND('Debts &amp; Credit'!A12&lt;&gt;"",N('Debts &amp; Credit'!D12)&gt;0),'Debts &amp; Credit'!A12,"")</f>
        <v/>
      </c>
      <c r="B119" s="114" t="str">
        <f aca="false">IF(A119="","",'Debts &amp; Credit'!P12)</f>
        <v/>
      </c>
      <c r="C119" s="203" t="str">
        <f aca="false">IF(A119="","",N('Debts &amp; Credit'!H12))</f>
        <v/>
      </c>
      <c r="D119" s="114" t="str">
        <f aca="false">IF(A119="","",N('Debts &amp; Credit'!R12)+SUMPRODUCT(('Debts &amp; Credit'!$A$35:$A$41=A119)*'Debts &amp; Credit'!$C$35:$V$41)/20)</f>
        <v/>
      </c>
      <c r="E119" s="157" t="str">
        <f aca="false">IF(A119="","",IF(D119&lt;=0,"no payment",IF(C119=0,ROUNDUP(B119/D119,0),IFERROR(ROUNDUP(NPER(C119/12,-D119,B119),0),"never at this payment"))))</f>
        <v/>
      </c>
      <c r="F119" s="147" t="str">
        <f aca="false">IF(OR(A119="",NOT(ISNUMBER(E119))),"",MAX(0,D119*E119-B119))</f>
        <v/>
      </c>
      <c r="G119" s="205" t="str">
        <f aca="false">IF(OR(A119="",NOT(ISNUMBER(E119))),"",EDATE(Inputs!$B$5,E119))</f>
        <v/>
      </c>
    </row>
    <row r="120" customFormat="false" ht="15" hidden="false" customHeight="false" outlineLevel="0" collapsed="false">
      <c r="A120" s="154" t="str">
        <f aca="false">IF(AND('Debts &amp; Credit'!A13&lt;&gt;"",N('Debts &amp; Credit'!D13)&gt;0),'Debts &amp; Credit'!A13,"")</f>
        <v/>
      </c>
      <c r="B120" s="114" t="str">
        <f aca="false">IF(A120="","",'Debts &amp; Credit'!P13)</f>
        <v/>
      </c>
      <c r="C120" s="203" t="str">
        <f aca="false">IF(A120="","",N('Debts &amp; Credit'!H13))</f>
        <v/>
      </c>
      <c r="D120" s="114" t="str">
        <f aca="false">IF(A120="","",N('Debts &amp; Credit'!R13)+SUMPRODUCT(('Debts &amp; Credit'!$A$35:$A$41=A120)*'Debts &amp; Credit'!$C$35:$V$41)/20)</f>
        <v/>
      </c>
      <c r="E120" s="157" t="str">
        <f aca="false">IF(A120="","",IF(D120&lt;=0,"no payment",IF(C120=0,ROUNDUP(B120/D120,0),IFERROR(ROUNDUP(NPER(C120/12,-D120,B120),0),"never at this payment"))))</f>
        <v/>
      </c>
      <c r="F120" s="147" t="str">
        <f aca="false">IF(OR(A120="",NOT(ISNUMBER(E120))),"",MAX(0,D120*E120-B120))</f>
        <v/>
      </c>
      <c r="G120" s="205" t="str">
        <f aca="false">IF(OR(A120="",NOT(ISNUMBER(E120))),"",EDATE(Inputs!$B$5,E120))</f>
        <v/>
      </c>
    </row>
    <row r="121" customFormat="false" ht="15" hidden="false" customHeight="false" outlineLevel="0" collapsed="false">
      <c r="A121" s="154" t="str">
        <f aca="false">IF(AND('Debts &amp; Credit'!A14&lt;&gt;"",N('Debts &amp; Credit'!D14)&gt;0),'Debts &amp; Credit'!A14,"")</f>
        <v/>
      </c>
      <c r="B121" s="114" t="str">
        <f aca="false">IF(A121="","",'Debts &amp; Credit'!P14)</f>
        <v/>
      </c>
      <c r="C121" s="203" t="str">
        <f aca="false">IF(A121="","",N('Debts &amp; Credit'!H14))</f>
        <v/>
      </c>
      <c r="D121" s="114" t="str">
        <f aca="false">IF(A121="","",N('Debts &amp; Credit'!R14)+SUMPRODUCT(('Debts &amp; Credit'!$A$35:$A$41=A121)*'Debts &amp; Credit'!$C$35:$V$41)/20)</f>
        <v/>
      </c>
      <c r="E121" s="157" t="str">
        <f aca="false">IF(A121="","",IF(D121&lt;=0,"no payment",IF(C121=0,ROUNDUP(B121/D121,0),IFERROR(ROUNDUP(NPER(C121/12,-D121,B121),0),"never at this payment"))))</f>
        <v/>
      </c>
      <c r="F121" s="147" t="str">
        <f aca="false">IF(OR(A121="",NOT(ISNUMBER(E121))),"",MAX(0,D121*E121-B121))</f>
        <v/>
      </c>
      <c r="G121" s="205" t="str">
        <f aca="false">IF(OR(A121="",NOT(ISNUMBER(E121))),"",EDATE(Inputs!$B$5,E121))</f>
        <v/>
      </c>
    </row>
    <row r="122" customFormat="false" ht="15" hidden="false" customHeight="false" outlineLevel="0" collapsed="false">
      <c r="A122" s="154" t="str">
        <f aca="false">IF(AND('Debts &amp; Credit'!A15&lt;&gt;"",N('Debts &amp; Credit'!D15)&gt;0),'Debts &amp; Credit'!A15,"")</f>
        <v/>
      </c>
      <c r="B122" s="114" t="str">
        <f aca="false">IF(A122="","",'Debts &amp; Credit'!P15)</f>
        <v/>
      </c>
      <c r="C122" s="203" t="str">
        <f aca="false">IF(A122="","",N('Debts &amp; Credit'!H15))</f>
        <v/>
      </c>
      <c r="D122" s="114" t="str">
        <f aca="false">IF(A122="","",N('Debts &amp; Credit'!R15)+SUMPRODUCT(('Debts &amp; Credit'!$A$35:$A$41=A122)*'Debts &amp; Credit'!$C$35:$V$41)/20)</f>
        <v/>
      </c>
      <c r="E122" s="157" t="str">
        <f aca="false">IF(A122="","",IF(D122&lt;=0,"no payment",IF(C122=0,ROUNDUP(B122/D122,0),IFERROR(ROUNDUP(NPER(C122/12,-D122,B122),0),"never at this payment"))))</f>
        <v/>
      </c>
      <c r="F122" s="147" t="str">
        <f aca="false">IF(OR(A122="",NOT(ISNUMBER(E122))),"",MAX(0,D122*E122-B122))</f>
        <v/>
      </c>
      <c r="G122" s="205" t="str">
        <f aca="false">IF(OR(A122="",NOT(ISNUMBER(E122))),"",EDATE(Inputs!$B$5,E122))</f>
        <v/>
      </c>
    </row>
    <row r="123" customFormat="false" ht="15" hidden="false" customHeight="false" outlineLevel="0" collapsed="false">
      <c r="A123" s="154" t="str">
        <f aca="false">IF(AND('Debts &amp; Credit'!A16&lt;&gt;"",N('Debts &amp; Credit'!D16)&gt;0),'Debts &amp; Credit'!A16,"")</f>
        <v/>
      </c>
      <c r="B123" s="114" t="str">
        <f aca="false">IF(A123="","",'Debts &amp; Credit'!P16)</f>
        <v/>
      </c>
      <c r="C123" s="203" t="str">
        <f aca="false">IF(A123="","",N('Debts &amp; Credit'!H16))</f>
        <v/>
      </c>
      <c r="D123" s="114" t="str">
        <f aca="false">IF(A123="","",N('Debts &amp; Credit'!R16)+SUMPRODUCT(('Debts &amp; Credit'!$A$35:$A$41=A123)*'Debts &amp; Credit'!$C$35:$V$41)/20)</f>
        <v/>
      </c>
      <c r="E123" s="157" t="str">
        <f aca="false">IF(A123="","",IF(D123&lt;=0,"no payment",IF(C123=0,ROUNDUP(B123/D123,0),IFERROR(ROUNDUP(NPER(C123/12,-D123,B123),0),"never at this payment"))))</f>
        <v/>
      </c>
      <c r="F123" s="147" t="str">
        <f aca="false">IF(OR(A123="",NOT(ISNUMBER(E123))),"",MAX(0,D123*E123-B123))</f>
        <v/>
      </c>
      <c r="G123" s="205" t="str">
        <f aca="false">IF(OR(A123="",NOT(ISNUMBER(E123))),"",EDATE(Inputs!$B$5,E123))</f>
        <v/>
      </c>
    </row>
    <row r="124" customFormat="false" ht="15" hidden="false" customHeight="false" outlineLevel="0" collapsed="false">
      <c r="A124" s="154" t="str">
        <f aca="false">IF(AND('Debts &amp; Credit'!A17&lt;&gt;"",N('Debts &amp; Credit'!D17)&gt;0),'Debts &amp; Credit'!A17,"")</f>
        <v/>
      </c>
      <c r="B124" s="114" t="str">
        <f aca="false">IF(A124="","",'Debts &amp; Credit'!P17)</f>
        <v/>
      </c>
      <c r="C124" s="203" t="str">
        <f aca="false">IF(A124="","",N('Debts &amp; Credit'!H17))</f>
        <v/>
      </c>
      <c r="D124" s="114" t="str">
        <f aca="false">IF(A124="","",N('Debts &amp; Credit'!R17)+SUMPRODUCT(('Debts &amp; Credit'!$A$35:$A$41=A124)*'Debts &amp; Credit'!$C$35:$V$41)/20)</f>
        <v/>
      </c>
      <c r="E124" s="157" t="str">
        <f aca="false">IF(A124="","",IF(D124&lt;=0,"no payment",IF(C124=0,ROUNDUP(B124/D124,0),IFERROR(ROUNDUP(NPER(C124/12,-D124,B124),0),"never at this payment"))))</f>
        <v/>
      </c>
      <c r="F124" s="147" t="str">
        <f aca="false">IF(OR(A124="",NOT(ISNUMBER(E124))),"",MAX(0,D124*E124-B124))</f>
        <v/>
      </c>
      <c r="G124" s="205" t="str">
        <f aca="false">IF(OR(A124="",NOT(ISNUMBER(E124))),"",EDATE(Inputs!$B$5,E124))</f>
        <v/>
      </c>
    </row>
    <row r="125" customFormat="false" ht="15" hidden="false" customHeight="false" outlineLevel="0" collapsed="false">
      <c r="A125" s="154" t="str">
        <f aca="false">IF(AND('Debts &amp; Credit'!A18&lt;&gt;"",N('Debts &amp; Credit'!D18)&gt;0),'Debts &amp; Credit'!A18,"")</f>
        <v/>
      </c>
      <c r="B125" s="114" t="str">
        <f aca="false">IF(A125="","",'Debts &amp; Credit'!P18)</f>
        <v/>
      </c>
      <c r="C125" s="203" t="str">
        <f aca="false">IF(A125="","",N('Debts &amp; Credit'!H18))</f>
        <v/>
      </c>
      <c r="D125" s="114" t="str">
        <f aca="false">IF(A125="","",N('Debts &amp; Credit'!R18)+SUMPRODUCT(('Debts &amp; Credit'!$A$35:$A$41=A125)*'Debts &amp; Credit'!$C$35:$V$41)/20)</f>
        <v/>
      </c>
      <c r="E125" s="157" t="str">
        <f aca="false">IF(A125="","",IF(D125&lt;=0,"no payment",IF(C125=0,ROUNDUP(B125/D125,0),IFERROR(ROUNDUP(NPER(C125/12,-D125,B125),0),"never at this payment"))))</f>
        <v/>
      </c>
      <c r="F125" s="147" t="str">
        <f aca="false">IF(OR(A125="",NOT(ISNUMBER(E125))),"",MAX(0,D125*E125-B125))</f>
        <v/>
      </c>
      <c r="G125" s="205" t="str">
        <f aca="false">IF(OR(A125="",NOT(ISNUMBER(E125))),"",EDATE(Inputs!$B$5,E125))</f>
        <v/>
      </c>
    </row>
    <row r="126" customFormat="false" ht="15" hidden="false" customHeight="false" outlineLevel="0" collapsed="false">
      <c r="A126" s="154" t="str">
        <f aca="false">IF(AND('Debts &amp; Credit'!A19&lt;&gt;"",N('Debts &amp; Credit'!D19)&gt;0),'Debts &amp; Credit'!A19,"")</f>
        <v/>
      </c>
      <c r="B126" s="114" t="str">
        <f aca="false">IF(A126="","",'Debts &amp; Credit'!P19)</f>
        <v/>
      </c>
      <c r="C126" s="203" t="str">
        <f aca="false">IF(A126="","",N('Debts &amp; Credit'!H19))</f>
        <v/>
      </c>
      <c r="D126" s="114" t="str">
        <f aca="false">IF(A126="","",N('Debts &amp; Credit'!R19)+SUMPRODUCT(('Debts &amp; Credit'!$A$35:$A$41=A126)*'Debts &amp; Credit'!$C$35:$V$41)/20)</f>
        <v/>
      </c>
      <c r="E126" s="157" t="str">
        <f aca="false">IF(A126="","",IF(D126&lt;=0,"no payment",IF(C126=0,ROUNDUP(B126/D126,0),IFERROR(ROUNDUP(NPER(C126/12,-D126,B126),0),"never at this payment"))))</f>
        <v/>
      </c>
      <c r="F126" s="147" t="str">
        <f aca="false">IF(OR(A126="",NOT(ISNUMBER(E126))),"",MAX(0,D126*E126-B126))</f>
        <v/>
      </c>
      <c r="G126" s="205" t="str">
        <f aca="false">IF(OR(A126="",NOT(ISNUMBER(E126))),"",EDATE(Inputs!$B$5,E126))</f>
        <v/>
      </c>
    </row>
    <row r="127" customFormat="false" ht="15" hidden="false" customHeight="false" outlineLevel="0" collapsed="false">
      <c r="A127" s="154" t="str">
        <f aca="false">IF(AND('Debts &amp; Credit'!A20&lt;&gt;"",N('Debts &amp; Credit'!D20)&gt;0),'Debts &amp; Credit'!A20,"")</f>
        <v/>
      </c>
      <c r="B127" s="114" t="str">
        <f aca="false">IF(A127="","",'Debts &amp; Credit'!P20)</f>
        <v/>
      </c>
      <c r="C127" s="203" t="str">
        <f aca="false">IF(A127="","",N('Debts &amp; Credit'!H20))</f>
        <v/>
      </c>
      <c r="D127" s="114" t="str">
        <f aca="false">IF(A127="","",N('Debts &amp; Credit'!R20)+SUMPRODUCT(('Debts &amp; Credit'!$A$35:$A$41=A127)*'Debts &amp; Credit'!$C$35:$V$41)/20)</f>
        <v/>
      </c>
      <c r="E127" s="157" t="str">
        <f aca="false">IF(A127="","",IF(D127&lt;=0,"no payment",IF(C127=0,ROUNDUP(B127/D127,0),IFERROR(ROUNDUP(NPER(C127/12,-D127,B127),0),"never at this payment"))))</f>
        <v/>
      </c>
      <c r="F127" s="147" t="str">
        <f aca="false">IF(OR(A127="",NOT(ISNUMBER(E127))),"",MAX(0,D127*E127-B127))</f>
        <v/>
      </c>
      <c r="G127" s="205" t="str">
        <f aca="false">IF(OR(A127="",NOT(ISNUMBER(E127))),"",EDATE(Inputs!$B$5,E127))</f>
        <v/>
      </c>
    </row>
    <row r="128" customFormat="false" ht="15" hidden="false" customHeight="false" outlineLevel="0" collapsed="false">
      <c r="A128" s="154" t="str">
        <f aca="false">IF(AND('Debts &amp; Credit'!A21&lt;&gt;"",N('Debts &amp; Credit'!D21)&gt;0),'Debts &amp; Credit'!A21,"")</f>
        <v/>
      </c>
      <c r="B128" s="114" t="str">
        <f aca="false">IF(A128="","",'Debts &amp; Credit'!P21)</f>
        <v/>
      </c>
      <c r="C128" s="203" t="str">
        <f aca="false">IF(A128="","",N('Debts &amp; Credit'!H21))</f>
        <v/>
      </c>
      <c r="D128" s="114" t="str">
        <f aca="false">IF(A128="","",N('Debts &amp; Credit'!R21)+SUMPRODUCT(('Debts &amp; Credit'!$A$35:$A$41=A128)*'Debts &amp; Credit'!$C$35:$V$41)/20)</f>
        <v/>
      </c>
      <c r="E128" s="157" t="str">
        <f aca="false">IF(A128="","",IF(D128&lt;=0,"no payment",IF(C128=0,ROUNDUP(B128/D128,0),IFERROR(ROUNDUP(NPER(C128/12,-D128,B128),0),"never at this payment"))))</f>
        <v/>
      </c>
      <c r="F128" s="147" t="str">
        <f aca="false">IF(OR(A128="",NOT(ISNUMBER(E128))),"",MAX(0,D128*E128-B128))</f>
        <v/>
      </c>
      <c r="G128" s="205" t="str">
        <f aca="false">IF(OR(A128="",NOT(ISNUMBER(E128))),"",EDATE(Inputs!$B$5,E128))</f>
        <v/>
      </c>
    </row>
    <row r="129" customFormat="false" ht="15" hidden="false" customHeight="false" outlineLevel="0" collapsed="false">
      <c r="A129" s="154" t="str">
        <f aca="false">IF(AND('Debts &amp; Credit'!A22&lt;&gt;"",N('Debts &amp; Credit'!D22)&gt;0),'Debts &amp; Credit'!A22,"")</f>
        <v/>
      </c>
      <c r="B129" s="114" t="str">
        <f aca="false">IF(A129="","",'Debts &amp; Credit'!P22)</f>
        <v/>
      </c>
      <c r="C129" s="203" t="str">
        <f aca="false">IF(A129="","",N('Debts &amp; Credit'!H22))</f>
        <v/>
      </c>
      <c r="D129" s="114" t="str">
        <f aca="false">IF(A129="","",N('Debts &amp; Credit'!R22)+SUMPRODUCT(('Debts &amp; Credit'!$A$35:$A$41=A129)*'Debts &amp; Credit'!$C$35:$V$41)/20)</f>
        <v/>
      </c>
      <c r="E129" s="157" t="str">
        <f aca="false">IF(A129="","",IF(D129&lt;=0,"no payment",IF(C129=0,ROUNDUP(B129/D129,0),IFERROR(ROUNDUP(NPER(C129/12,-D129,B129),0),"never at this payment"))))</f>
        <v/>
      </c>
      <c r="F129" s="147" t="str">
        <f aca="false">IF(OR(A129="",NOT(ISNUMBER(E129))),"",MAX(0,D129*E129-B129))</f>
        <v/>
      </c>
      <c r="G129" s="205" t="str">
        <f aca="false">IF(OR(A129="",NOT(ISNUMBER(E129))),"",EDATE(Inputs!$B$5,E129))</f>
        <v/>
      </c>
    </row>
    <row r="130" customFormat="false" ht="15" hidden="false" customHeight="false" outlineLevel="0" collapsed="false">
      <c r="A130" s="154" t="str">
        <f aca="false">IF(AND('Debts &amp; Credit'!A23&lt;&gt;"",N('Debts &amp; Credit'!D23)&gt;0),'Debts &amp; Credit'!A23,"")</f>
        <v/>
      </c>
      <c r="B130" s="114" t="str">
        <f aca="false">IF(A130="","",'Debts &amp; Credit'!P23)</f>
        <v/>
      </c>
      <c r="C130" s="203" t="str">
        <f aca="false">IF(A130="","",N('Debts &amp; Credit'!H23))</f>
        <v/>
      </c>
      <c r="D130" s="114" t="str">
        <f aca="false">IF(A130="","",N('Debts &amp; Credit'!R23)+SUMPRODUCT(('Debts &amp; Credit'!$A$35:$A$41=A130)*'Debts &amp; Credit'!$C$35:$V$41)/20)</f>
        <v/>
      </c>
      <c r="E130" s="157" t="str">
        <f aca="false">IF(A130="","",IF(D130&lt;=0,"no payment",IF(C130=0,ROUNDUP(B130/D130,0),IFERROR(ROUNDUP(NPER(C130/12,-D130,B130),0),"never at this payment"))))</f>
        <v/>
      </c>
      <c r="F130" s="147" t="str">
        <f aca="false">IF(OR(A130="",NOT(ISNUMBER(E130))),"",MAX(0,D130*E130-B130))</f>
        <v/>
      </c>
      <c r="G130" s="205" t="str">
        <f aca="false">IF(OR(A130="",NOT(ISNUMBER(E130))),"",EDATE(Inputs!$B$5,E130))</f>
        <v/>
      </c>
    </row>
    <row r="131" customFormat="false" ht="15" hidden="false" customHeight="false" outlineLevel="0" collapsed="false">
      <c r="A131" s="154" t="str">
        <f aca="false">IF(AND('Debts &amp; Credit'!A24&lt;&gt;"",N('Debts &amp; Credit'!D24)&gt;0),'Debts &amp; Credit'!A24,"")</f>
        <v/>
      </c>
      <c r="B131" s="114" t="str">
        <f aca="false">IF(A131="","",'Debts &amp; Credit'!P24)</f>
        <v/>
      </c>
      <c r="C131" s="203" t="str">
        <f aca="false">IF(A131="","",N('Debts &amp; Credit'!H24))</f>
        <v/>
      </c>
      <c r="D131" s="114" t="str">
        <f aca="false">IF(A131="","",N('Debts &amp; Credit'!R24)+SUMPRODUCT(('Debts &amp; Credit'!$A$35:$A$41=A131)*'Debts &amp; Credit'!$C$35:$V$41)/20)</f>
        <v/>
      </c>
      <c r="E131" s="157" t="str">
        <f aca="false">IF(A131="","",IF(D131&lt;=0,"no payment",IF(C131=0,ROUNDUP(B131/D131,0),IFERROR(ROUNDUP(NPER(C131/12,-D131,B131),0),"never at this payment"))))</f>
        <v/>
      </c>
      <c r="F131" s="147" t="str">
        <f aca="false">IF(OR(A131="",NOT(ISNUMBER(E131))),"",MAX(0,D131*E131-B131))</f>
        <v/>
      </c>
      <c r="G131" s="205" t="str">
        <f aca="false">IF(OR(A131="",NOT(ISNUMBER(E131))),"",EDATE(Inputs!$B$5,E131))</f>
        <v/>
      </c>
    </row>
    <row r="132" customFormat="false" ht="15" hidden="false" customHeight="false" outlineLevel="0" collapsed="false">
      <c r="A132" s="154" t="str">
        <f aca="false">IF(AND('Debts &amp; Credit'!A25&lt;&gt;"",N('Debts &amp; Credit'!D25)&gt;0),'Debts &amp; Credit'!A25,"")</f>
        <v/>
      </c>
      <c r="B132" s="114" t="str">
        <f aca="false">IF(A132="","",'Debts &amp; Credit'!P25)</f>
        <v/>
      </c>
      <c r="C132" s="203" t="str">
        <f aca="false">IF(A132="","",N('Debts &amp; Credit'!H25))</f>
        <v/>
      </c>
      <c r="D132" s="114" t="str">
        <f aca="false">IF(A132="","",N('Debts &amp; Credit'!R25)+SUMPRODUCT(('Debts &amp; Credit'!$A$35:$A$41=A132)*'Debts &amp; Credit'!$C$35:$V$41)/20)</f>
        <v/>
      </c>
      <c r="E132" s="157" t="str">
        <f aca="false">IF(A132="","",IF(D132&lt;=0,"no payment",IF(C132=0,ROUNDUP(B132/D132,0),IFERROR(ROUNDUP(NPER(C132/12,-D132,B132),0),"never at this payment"))))</f>
        <v/>
      </c>
      <c r="F132" s="147" t="str">
        <f aca="false">IF(OR(A132="",NOT(ISNUMBER(E132))),"",MAX(0,D132*E132-B132))</f>
        <v/>
      </c>
      <c r="G132" s="205" t="str">
        <f aca="false">IF(OR(A132="",NOT(ISNUMBER(E132))),"",EDATE(Inputs!$B$5,E132))</f>
        <v/>
      </c>
    </row>
    <row r="133" customFormat="false" ht="15" hidden="false" customHeight="false" outlineLevel="0" collapsed="false">
      <c r="A133" s="154" t="str">
        <f aca="false">IF(AND('Debts &amp; Credit'!A26&lt;&gt;"",N('Debts &amp; Credit'!D26)&gt;0),'Debts &amp; Credit'!A26,"")</f>
        <v/>
      </c>
      <c r="B133" s="114" t="str">
        <f aca="false">IF(A133="","",'Debts &amp; Credit'!P26)</f>
        <v/>
      </c>
      <c r="C133" s="203" t="str">
        <f aca="false">IF(A133="","",N('Debts &amp; Credit'!H26))</f>
        <v/>
      </c>
      <c r="D133" s="114" t="str">
        <f aca="false">IF(A133="","",N('Debts &amp; Credit'!R26)+SUMPRODUCT(('Debts &amp; Credit'!$A$35:$A$41=A133)*'Debts &amp; Credit'!$C$35:$V$41)/20)</f>
        <v/>
      </c>
      <c r="E133" s="157" t="str">
        <f aca="false">IF(A133="","",IF(D133&lt;=0,"no payment",IF(C133=0,ROUNDUP(B133/D133,0),IFERROR(ROUNDUP(NPER(C133/12,-D133,B133),0),"never at this payment"))))</f>
        <v/>
      </c>
      <c r="F133" s="147" t="str">
        <f aca="false">IF(OR(A133="",NOT(ISNUMBER(E133))),"",MAX(0,D133*E133-B133))</f>
        <v/>
      </c>
      <c r="G133" s="205" t="str">
        <f aca="false">IF(OR(A133="",NOT(ISNUMBER(E133))),"",EDATE(Inputs!$B$5,E133))</f>
        <v/>
      </c>
    </row>
    <row r="134" customFormat="false" ht="15" hidden="false" customHeight="false" outlineLevel="0" collapsed="false">
      <c r="A134" s="154" t="str">
        <f aca="false">IF(AND('Debts &amp; Credit'!A27&lt;&gt;"",N('Debts &amp; Credit'!D27)&gt;0),'Debts &amp; Credit'!A27,"")</f>
        <v/>
      </c>
      <c r="B134" s="114" t="str">
        <f aca="false">IF(A134="","",'Debts &amp; Credit'!P27)</f>
        <v/>
      </c>
      <c r="C134" s="203" t="str">
        <f aca="false">IF(A134="","",N('Debts &amp; Credit'!H27))</f>
        <v/>
      </c>
      <c r="D134" s="114" t="str">
        <f aca="false">IF(A134="","",N('Debts &amp; Credit'!R27)+SUMPRODUCT(('Debts &amp; Credit'!$A$35:$A$41=A134)*'Debts &amp; Credit'!$C$35:$V$41)/20)</f>
        <v/>
      </c>
      <c r="E134" s="157" t="str">
        <f aca="false">IF(A134="","",IF(D134&lt;=0,"no payment",IF(C134=0,ROUNDUP(B134/D134,0),IFERROR(ROUNDUP(NPER(C134/12,-D134,B134),0),"never at this payment"))))</f>
        <v/>
      </c>
      <c r="F134" s="147" t="str">
        <f aca="false">IF(OR(A134="",NOT(ISNUMBER(E134))),"",MAX(0,D134*E134-B134))</f>
        <v/>
      </c>
      <c r="G134" s="205" t="str">
        <f aca="false">IF(OR(A134="",NOT(ISNUMBER(E134))),"",EDATE(Inputs!$B$5,E134))</f>
        <v/>
      </c>
    </row>
    <row r="135" customFormat="false" ht="15" hidden="false" customHeight="false" outlineLevel="0" collapsed="false">
      <c r="A135" s="21" t="s">
        <v>1280</v>
      </c>
    </row>
    <row r="138" customFormat="false" ht="18.75" hidden="false" customHeight="true" outlineLevel="0" collapsed="false">
      <c r="A138" s="56" t="s">
        <v>1281</v>
      </c>
      <c r="B138" s="3"/>
      <c r="C138" s="3"/>
      <c r="D138" s="3"/>
      <c r="E138" s="3"/>
      <c r="F138" s="3"/>
      <c r="G138" s="3"/>
    </row>
    <row r="139" customFormat="false" ht="19.5" hidden="false" customHeight="true" outlineLevel="0" collapsed="false">
      <c r="A139" s="107" t="s">
        <v>160</v>
      </c>
      <c r="B139" s="107" t="s">
        <v>1282</v>
      </c>
      <c r="C139" s="107" t="s">
        <v>1283</v>
      </c>
      <c r="D139" s="107" t="s">
        <v>1284</v>
      </c>
      <c r="E139" s="107" t="s">
        <v>1285</v>
      </c>
      <c r="F139" s="107" t="s">
        <v>1286</v>
      </c>
      <c r="G139" s="107" t="s">
        <v>1287</v>
      </c>
    </row>
    <row r="140" customFormat="false" ht="15" hidden="false" customHeight="false" outlineLevel="0" collapsed="false">
      <c r="A140" s="191" t="str">
        <f aca="false">IF(OR(Setup!A23="",Setup!A23=Setup!$B$8),"",Setup!A23)</f>
        <v/>
      </c>
      <c r="B140" s="206" t="str">
        <f aca="false">IF(A140="","",SUMIFS('Expense Log'!$C$5:$C$604,'Expense Log'!$J$5:$J$604,A140,'Expense Log'!$H$5:$H$604,Reports!$B$3))</f>
        <v/>
      </c>
      <c r="C140" s="114" t="str">
        <f aca="false">IF(A140="","",SUMIFS('Expense Log'!$K$5:$K$604,'Expense Log'!$J$5:$J$604,A140,'Expense Log'!$H$5:$H$604,Reports!$B$3))</f>
        <v/>
      </c>
      <c r="D140" s="206" t="str">
        <f aca="false">IF(A140="","",SUMIFS('Expense Log'!$C$5:$C$604,'Expense Log'!$J$5:$J$604,A140))</f>
        <v/>
      </c>
      <c r="E140" s="114" t="str">
        <f aca="false">IF(A140="","",SUMIFS('Expense Log'!$K$5:$K$604,'Expense Log'!$J$5:$J$604,A140))</f>
        <v/>
      </c>
      <c r="F140" s="190" t="str">
        <f aca="false">IF(A140="","",COUNTIF('Expense Log'!$J$5:$J$604,A140))</f>
        <v/>
      </c>
      <c r="G140" s="207" t="str">
        <f aca="false">IF(A140="","",Setup!C23)</f>
        <v/>
      </c>
    </row>
    <row r="141" customFormat="false" ht="15" hidden="false" customHeight="false" outlineLevel="0" collapsed="false">
      <c r="A141" s="191" t="str">
        <f aca="false">IF(OR(Setup!A24="",Setup!A24=Setup!$B$8),"",Setup!A24)</f>
        <v>CAD</v>
      </c>
      <c r="B141" s="206" t="n">
        <f aca="false">IF(A141="","",SUMIFS('Expense Log'!$C$5:$C$604,'Expense Log'!$J$5:$J$604,A141,'Expense Log'!$H$5:$H$604,Reports!$B$3))</f>
        <v>0</v>
      </c>
      <c r="C141" s="114" t="n">
        <f aca="false">IF(A141="","",SUMIFS('Expense Log'!$K$5:$K$604,'Expense Log'!$J$5:$J$604,A141,'Expense Log'!$H$5:$H$604,Reports!$B$3))</f>
        <v>0</v>
      </c>
      <c r="D141" s="206" t="n">
        <f aca="false">IF(A141="","",SUMIFS('Expense Log'!$C$5:$C$604,'Expense Log'!$J$5:$J$604,A141))</f>
        <v>0</v>
      </c>
      <c r="E141" s="114" t="n">
        <f aca="false">IF(A141="","",SUMIFS('Expense Log'!$K$5:$K$604,'Expense Log'!$J$5:$J$604,A141))</f>
        <v>0</v>
      </c>
      <c r="F141" s="190" t="n">
        <f aca="false">IF(A141="","",COUNTIF('Expense Log'!$J$5:$J$604,A141))</f>
        <v>0</v>
      </c>
      <c r="G141" s="207" t="n">
        <f aca="false">IF(A141="","",Setup!C24)</f>
        <v>1.37</v>
      </c>
    </row>
    <row r="142" customFormat="false" ht="15" hidden="false" customHeight="false" outlineLevel="0" collapsed="false">
      <c r="A142" s="191" t="str">
        <f aca="false">IF(OR(Setup!A25="",Setup!A25=Setup!$B$8),"",Setup!A25)</f>
        <v>GBP</v>
      </c>
      <c r="B142" s="206" t="n">
        <f aca="false">IF(A142="","",SUMIFS('Expense Log'!$C$5:$C$604,'Expense Log'!$J$5:$J$604,A142,'Expense Log'!$H$5:$H$604,Reports!$B$3))</f>
        <v>0</v>
      </c>
      <c r="C142" s="114" t="n">
        <f aca="false">IF(A142="","",SUMIFS('Expense Log'!$K$5:$K$604,'Expense Log'!$J$5:$J$604,A142,'Expense Log'!$H$5:$H$604,Reports!$B$3))</f>
        <v>0</v>
      </c>
      <c r="D142" s="206" t="n">
        <f aca="false">IF(A142="","",SUMIFS('Expense Log'!$C$5:$C$604,'Expense Log'!$J$5:$J$604,A142))</f>
        <v>0</v>
      </c>
      <c r="E142" s="114" t="n">
        <f aca="false">IF(A142="","",SUMIFS('Expense Log'!$K$5:$K$604,'Expense Log'!$J$5:$J$604,A142))</f>
        <v>0</v>
      </c>
      <c r="F142" s="190" t="n">
        <f aca="false">IF(A142="","",COUNTIF('Expense Log'!$J$5:$J$604,A142))</f>
        <v>0</v>
      </c>
      <c r="G142" s="207" t="n">
        <f aca="false">IF(A142="","",Setup!C25)</f>
        <v>0.76</v>
      </c>
    </row>
    <row r="143" customFormat="false" ht="15" hidden="false" customHeight="false" outlineLevel="0" collapsed="false">
      <c r="A143" s="191" t="str">
        <f aca="false">IF(OR(Setup!A26="",Setup!A26=Setup!$B$8),"",Setup!A26)</f>
        <v>EUR</v>
      </c>
      <c r="B143" s="206" t="n">
        <f aca="false">IF(A143="","",SUMIFS('Expense Log'!$C$5:$C$604,'Expense Log'!$J$5:$J$604,A143,'Expense Log'!$H$5:$H$604,Reports!$B$3))</f>
        <v>0</v>
      </c>
      <c r="C143" s="114" t="n">
        <f aca="false">IF(A143="","",SUMIFS('Expense Log'!$K$5:$K$604,'Expense Log'!$J$5:$J$604,A143,'Expense Log'!$H$5:$H$604,Reports!$B$3))</f>
        <v>0</v>
      </c>
      <c r="D143" s="206" t="n">
        <f aca="false">IF(A143="","",SUMIFS('Expense Log'!$C$5:$C$604,'Expense Log'!$J$5:$J$604,A143))</f>
        <v>0</v>
      </c>
      <c r="E143" s="114" t="n">
        <f aca="false">IF(A143="","",SUMIFS('Expense Log'!$K$5:$K$604,'Expense Log'!$J$5:$J$604,A143))</f>
        <v>0</v>
      </c>
      <c r="F143" s="190" t="n">
        <f aca="false">IF(A143="","",COUNTIF('Expense Log'!$J$5:$J$604,A143))</f>
        <v>0</v>
      </c>
      <c r="G143" s="207" t="n">
        <f aca="false">IF(A143="","",Setup!C26)</f>
        <v>0.88</v>
      </c>
    </row>
    <row r="144" customFormat="false" ht="15" hidden="false" customHeight="false" outlineLevel="0" collapsed="false">
      <c r="A144" s="191" t="str">
        <f aca="false">IF(OR(Setup!A27="",Setup!A27=Setup!$B$8),"",Setup!A27)</f>
        <v>MXN</v>
      </c>
      <c r="B144" s="206" t="n">
        <f aca="false">IF(A144="","",SUMIFS('Expense Log'!$C$5:$C$604,'Expense Log'!$J$5:$J$604,A144,'Expense Log'!$H$5:$H$604,Reports!$B$3))</f>
        <v>0</v>
      </c>
      <c r="C144" s="114" t="n">
        <f aca="false">IF(A144="","",SUMIFS('Expense Log'!$K$5:$K$604,'Expense Log'!$J$5:$J$604,A144,'Expense Log'!$H$5:$H$604,Reports!$B$3))</f>
        <v>0</v>
      </c>
      <c r="D144" s="206" t="n">
        <f aca="false">IF(A144="","",SUMIFS('Expense Log'!$C$5:$C$604,'Expense Log'!$J$5:$J$604,A144))</f>
        <v>0</v>
      </c>
      <c r="E144" s="114" t="n">
        <f aca="false">IF(A144="","",SUMIFS('Expense Log'!$K$5:$K$604,'Expense Log'!$J$5:$J$604,A144))</f>
        <v>0</v>
      </c>
      <c r="F144" s="190" t="n">
        <f aca="false">IF(A144="","",COUNTIF('Expense Log'!$J$5:$J$604,A144))</f>
        <v>0</v>
      </c>
      <c r="G144" s="207" t="n">
        <f aca="false">IF(A144="","",Setup!C27)</f>
        <v>18.5</v>
      </c>
    </row>
    <row r="145" customFormat="false" ht="15" hidden="false" customHeight="false" outlineLevel="0" collapsed="false">
      <c r="A145" s="191" t="str">
        <f aca="false">IF(OR(Setup!A28="",Setup!A28=Setup!$B$8),"",Setup!A28)</f>
        <v>THB</v>
      </c>
      <c r="B145" s="206" t="n">
        <f aca="false">IF(A145="","",SUMIFS('Expense Log'!$C$5:$C$604,'Expense Log'!$J$5:$J$604,A145,'Expense Log'!$H$5:$H$604,Reports!$B$3))</f>
        <v>0</v>
      </c>
      <c r="C145" s="114" t="n">
        <f aca="false">IF(A145="","",SUMIFS('Expense Log'!$K$5:$K$604,'Expense Log'!$J$5:$J$604,A145,'Expense Log'!$H$5:$H$604,Reports!$B$3))</f>
        <v>0</v>
      </c>
      <c r="D145" s="206" t="n">
        <f aca="false">IF(A145="","",SUMIFS('Expense Log'!$C$5:$C$604,'Expense Log'!$J$5:$J$604,A145))</f>
        <v>0</v>
      </c>
      <c r="E145" s="114" t="n">
        <f aca="false">IF(A145="","",SUMIFS('Expense Log'!$K$5:$K$604,'Expense Log'!$J$5:$J$604,A145))</f>
        <v>0</v>
      </c>
      <c r="F145" s="190" t="n">
        <f aca="false">IF(A145="","",COUNTIF('Expense Log'!$J$5:$J$604,A145))</f>
        <v>0</v>
      </c>
      <c r="G145" s="207" t="n">
        <f aca="false">IF(A145="","",Setup!C28)</f>
        <v>32</v>
      </c>
    </row>
    <row r="146" customFormat="false" ht="15" hidden="false" customHeight="false" outlineLevel="0" collapsed="false">
      <c r="A146" s="191" t="str">
        <f aca="false">IF(OR(Setup!A29="",Setup!A29=Setup!$B$8),"",Setup!A29)</f>
        <v>PHP</v>
      </c>
      <c r="B146" s="206" t="n">
        <f aca="false">IF(A146="","",SUMIFS('Expense Log'!$C$5:$C$604,'Expense Log'!$J$5:$J$604,A146,'Expense Log'!$H$5:$H$604,Reports!$B$3))</f>
        <v>0</v>
      </c>
      <c r="C146" s="114" t="n">
        <f aca="false">IF(A146="","",SUMIFS('Expense Log'!$K$5:$K$604,'Expense Log'!$J$5:$J$604,A146,'Expense Log'!$H$5:$H$604,Reports!$B$3))</f>
        <v>0</v>
      </c>
      <c r="D146" s="206" t="n">
        <f aca="false">IF(A146="","",SUMIFS('Expense Log'!$C$5:$C$604,'Expense Log'!$J$5:$J$604,A146))</f>
        <v>0</v>
      </c>
      <c r="E146" s="114" t="n">
        <f aca="false">IF(A146="","",SUMIFS('Expense Log'!$K$5:$K$604,'Expense Log'!$J$5:$J$604,A146))</f>
        <v>0</v>
      </c>
      <c r="F146" s="190" t="n">
        <f aca="false">IF(A146="","",COUNTIF('Expense Log'!$J$5:$J$604,A146))</f>
        <v>0</v>
      </c>
      <c r="G146" s="207" t="n">
        <f aca="false">IF(A146="","",Setup!C29)</f>
        <v>57</v>
      </c>
    </row>
    <row r="147" customFormat="false" ht="15" hidden="false" customHeight="false" outlineLevel="0" collapsed="false">
      <c r="A147" s="191" t="str">
        <f aca="false">IF(OR(Setup!A30="",Setup!A30=Setup!$B$8),"",Setup!A30)</f>
        <v>INR</v>
      </c>
      <c r="B147" s="206" t="n">
        <f aca="false">IF(A147="","",SUMIFS('Expense Log'!$C$5:$C$604,'Expense Log'!$J$5:$J$604,A147,'Expense Log'!$H$5:$H$604,Reports!$B$3))</f>
        <v>0</v>
      </c>
      <c r="C147" s="114" t="n">
        <f aca="false">IF(A147="","",SUMIFS('Expense Log'!$K$5:$K$604,'Expense Log'!$J$5:$J$604,A147,'Expense Log'!$H$5:$H$604,Reports!$B$3))</f>
        <v>0</v>
      </c>
      <c r="D147" s="206" t="n">
        <f aca="false">IF(A147="","",SUMIFS('Expense Log'!$C$5:$C$604,'Expense Log'!$J$5:$J$604,A147))</f>
        <v>0</v>
      </c>
      <c r="E147" s="114" t="n">
        <f aca="false">IF(A147="","",SUMIFS('Expense Log'!$K$5:$K$604,'Expense Log'!$J$5:$J$604,A147))</f>
        <v>0</v>
      </c>
      <c r="F147" s="190" t="n">
        <f aca="false">IF(A147="","",COUNTIF('Expense Log'!$J$5:$J$604,A147))</f>
        <v>0</v>
      </c>
      <c r="G147" s="207" t="n">
        <f aca="false">IF(A147="","",Setup!C30)</f>
        <v>88</v>
      </c>
    </row>
    <row r="148" customFormat="false" ht="15" hidden="false" customHeight="false" outlineLevel="0" collapsed="false">
      <c r="A148" s="191" t="str">
        <f aca="false">IF(OR(Setup!A31="",Setup!A31=Setup!$B$8),"",Setup!A31)</f>
        <v>BRL</v>
      </c>
      <c r="B148" s="206" t="n">
        <f aca="false">IF(A148="","",SUMIFS('Expense Log'!$C$5:$C$604,'Expense Log'!$J$5:$J$604,A148,'Expense Log'!$H$5:$H$604,Reports!$B$3))</f>
        <v>0</v>
      </c>
      <c r="C148" s="114" t="n">
        <f aca="false">IF(A148="","",SUMIFS('Expense Log'!$K$5:$K$604,'Expense Log'!$J$5:$J$604,A148,'Expense Log'!$H$5:$H$604,Reports!$B$3))</f>
        <v>0</v>
      </c>
      <c r="D148" s="206" t="n">
        <f aca="false">IF(A148="","",SUMIFS('Expense Log'!$C$5:$C$604,'Expense Log'!$J$5:$J$604,A148))</f>
        <v>0</v>
      </c>
      <c r="E148" s="114" t="n">
        <f aca="false">IF(A148="","",SUMIFS('Expense Log'!$K$5:$K$604,'Expense Log'!$J$5:$J$604,A148))</f>
        <v>0</v>
      </c>
      <c r="F148" s="190" t="n">
        <f aca="false">IF(A148="","",COUNTIF('Expense Log'!$J$5:$J$604,A148))</f>
        <v>0</v>
      </c>
      <c r="G148" s="207" t="n">
        <f aca="false">IF(A148="","",Setup!C31)</f>
        <v>5.3</v>
      </c>
    </row>
    <row r="149" customFormat="false" ht="15" hidden="false" customHeight="false" outlineLevel="0" collapsed="false">
      <c r="A149" s="191" t="str">
        <f aca="false">IF(OR(Setup!A32="",Setup!A32=Setup!$B$8),"",Setup!A32)</f>
        <v>COP</v>
      </c>
      <c r="B149" s="206" t="n">
        <f aca="false">IF(A149="","",SUMIFS('Expense Log'!$C$5:$C$604,'Expense Log'!$J$5:$J$604,A149,'Expense Log'!$H$5:$H$604,Reports!$B$3))</f>
        <v>0</v>
      </c>
      <c r="C149" s="114" t="n">
        <f aca="false">IF(A149="","",SUMIFS('Expense Log'!$K$5:$K$604,'Expense Log'!$J$5:$J$604,A149,'Expense Log'!$H$5:$H$604,Reports!$B$3))</f>
        <v>0</v>
      </c>
      <c r="D149" s="206" t="n">
        <f aca="false">IF(A149="","",SUMIFS('Expense Log'!$C$5:$C$604,'Expense Log'!$J$5:$J$604,A149))</f>
        <v>0</v>
      </c>
      <c r="E149" s="114" t="n">
        <f aca="false">IF(A149="","",SUMIFS('Expense Log'!$K$5:$K$604,'Expense Log'!$J$5:$J$604,A149))</f>
        <v>0</v>
      </c>
      <c r="F149" s="190" t="n">
        <f aca="false">IF(A149="","",COUNTIF('Expense Log'!$J$5:$J$604,A149))</f>
        <v>0</v>
      </c>
      <c r="G149" s="207" t="n">
        <f aca="false">IF(A149="","",Setup!C32)</f>
        <v>3900</v>
      </c>
    </row>
    <row r="150" customFormat="false" ht="15" hidden="false" customHeight="false" outlineLevel="0" collapsed="false">
      <c r="A150" s="191" t="str">
        <f aca="false">IF(OR(Setup!A33="",Setup!A33=Setup!$B$8),"",Setup!A33)</f>
        <v>ARS</v>
      </c>
      <c r="B150" s="206" t="n">
        <f aca="false">IF(A150="","",SUMIFS('Expense Log'!$C$5:$C$604,'Expense Log'!$J$5:$J$604,A150,'Expense Log'!$H$5:$H$604,Reports!$B$3))</f>
        <v>0</v>
      </c>
      <c r="C150" s="114" t="n">
        <f aca="false">IF(A150="","",SUMIFS('Expense Log'!$K$5:$K$604,'Expense Log'!$J$5:$J$604,A150,'Expense Log'!$H$5:$H$604,Reports!$B$3))</f>
        <v>0</v>
      </c>
      <c r="D150" s="206" t="n">
        <f aca="false">IF(A150="","",SUMIFS('Expense Log'!$C$5:$C$604,'Expense Log'!$J$5:$J$604,A150))</f>
        <v>0</v>
      </c>
      <c r="E150" s="114" t="n">
        <f aca="false">IF(A150="","",SUMIFS('Expense Log'!$K$5:$K$604,'Expense Log'!$J$5:$J$604,A150))</f>
        <v>0</v>
      </c>
      <c r="F150" s="190" t="n">
        <f aca="false">IF(A150="","",COUNTIF('Expense Log'!$J$5:$J$604,A150))</f>
        <v>0</v>
      </c>
      <c r="G150" s="207" t="n">
        <f aca="false">IF(A150="","",Setup!C33)</f>
        <v>1400</v>
      </c>
    </row>
    <row r="151" customFormat="false" ht="15" hidden="false" customHeight="false" outlineLevel="0" collapsed="false">
      <c r="A151" s="191" t="str">
        <f aca="false">IF(OR(Setup!A34="",Setup!A34=Setup!$B$8),"",Setup!A34)</f>
        <v>CLP</v>
      </c>
      <c r="B151" s="206" t="n">
        <f aca="false">IF(A151="","",SUMIFS('Expense Log'!$C$5:$C$604,'Expense Log'!$J$5:$J$604,A151,'Expense Log'!$H$5:$H$604,Reports!$B$3))</f>
        <v>0</v>
      </c>
      <c r="C151" s="114" t="n">
        <f aca="false">IF(A151="","",SUMIFS('Expense Log'!$K$5:$K$604,'Expense Log'!$J$5:$J$604,A151,'Expense Log'!$H$5:$H$604,Reports!$B$3))</f>
        <v>0</v>
      </c>
      <c r="D151" s="206" t="n">
        <f aca="false">IF(A151="","",SUMIFS('Expense Log'!$C$5:$C$604,'Expense Log'!$J$5:$J$604,A151))</f>
        <v>0</v>
      </c>
      <c r="E151" s="114" t="n">
        <f aca="false">IF(A151="","",SUMIFS('Expense Log'!$K$5:$K$604,'Expense Log'!$J$5:$J$604,A151))</f>
        <v>0</v>
      </c>
      <c r="F151" s="190" t="n">
        <f aca="false">IF(A151="","",COUNTIF('Expense Log'!$J$5:$J$604,A151))</f>
        <v>0</v>
      </c>
      <c r="G151" s="207" t="n">
        <f aca="false">IF(A151="","",Setup!C34)</f>
        <v>950</v>
      </c>
    </row>
    <row r="152" customFormat="false" ht="15" hidden="false" customHeight="false" outlineLevel="0" collapsed="false">
      <c r="A152" s="191" t="str">
        <f aca="false">IF(OR(Setup!A35="",Setup!A35=Setup!$B$8),"",Setup!A35)</f>
        <v>PEN</v>
      </c>
      <c r="B152" s="206" t="n">
        <f aca="false">IF(A152="","",SUMIFS('Expense Log'!$C$5:$C$604,'Expense Log'!$J$5:$J$604,A152,'Expense Log'!$H$5:$H$604,Reports!$B$3))</f>
        <v>0</v>
      </c>
      <c r="C152" s="114" t="n">
        <f aca="false">IF(A152="","",SUMIFS('Expense Log'!$K$5:$K$604,'Expense Log'!$J$5:$J$604,A152,'Expense Log'!$H$5:$H$604,Reports!$B$3))</f>
        <v>0</v>
      </c>
      <c r="D152" s="206" t="n">
        <f aca="false">IF(A152="","",SUMIFS('Expense Log'!$C$5:$C$604,'Expense Log'!$J$5:$J$604,A152))</f>
        <v>0</v>
      </c>
      <c r="E152" s="114" t="n">
        <f aca="false">IF(A152="","",SUMIFS('Expense Log'!$K$5:$K$604,'Expense Log'!$J$5:$J$604,A152))</f>
        <v>0</v>
      </c>
      <c r="F152" s="190" t="n">
        <f aca="false">IF(A152="","",COUNTIF('Expense Log'!$J$5:$J$604,A152))</f>
        <v>0</v>
      </c>
      <c r="G152" s="207" t="n">
        <f aca="false">IF(A152="","",Setup!C35)</f>
        <v>3.5</v>
      </c>
    </row>
    <row r="153" customFormat="false" ht="15" hidden="false" customHeight="false" outlineLevel="0" collapsed="false">
      <c r="A153" s="191" t="str">
        <f aca="false">IF(OR(Setup!A36="",Setup!A36=Setup!$B$8),"",Setup!A36)</f>
        <v>JPY</v>
      </c>
      <c r="B153" s="206" t="n">
        <f aca="false">IF(A153="","",SUMIFS('Expense Log'!$C$5:$C$604,'Expense Log'!$J$5:$J$604,A153,'Expense Log'!$H$5:$H$604,Reports!$B$3))</f>
        <v>0</v>
      </c>
      <c r="C153" s="114" t="n">
        <f aca="false">IF(A153="","",SUMIFS('Expense Log'!$K$5:$K$604,'Expense Log'!$J$5:$J$604,A153,'Expense Log'!$H$5:$H$604,Reports!$B$3))</f>
        <v>0</v>
      </c>
      <c r="D153" s="206" t="n">
        <f aca="false">IF(A153="","",SUMIFS('Expense Log'!$C$5:$C$604,'Expense Log'!$J$5:$J$604,A153))</f>
        <v>0</v>
      </c>
      <c r="E153" s="114" t="n">
        <f aca="false">IF(A153="","",SUMIFS('Expense Log'!$K$5:$K$604,'Expense Log'!$J$5:$J$604,A153))</f>
        <v>0</v>
      </c>
      <c r="F153" s="190" t="n">
        <f aca="false">IF(A153="","",COUNTIF('Expense Log'!$J$5:$J$604,A153))</f>
        <v>0</v>
      </c>
      <c r="G153" s="207" t="n">
        <f aca="false">IF(A153="","",Setup!C36)</f>
        <v>150</v>
      </c>
    </row>
    <row r="154" customFormat="false" ht="15" hidden="false" customHeight="false" outlineLevel="0" collapsed="false">
      <c r="A154" s="191" t="str">
        <f aca="false">IF(OR(Setup!A37="",Setup!A37=Setup!$B$8),"",Setup!A37)</f>
        <v>CNY</v>
      </c>
      <c r="B154" s="206" t="n">
        <f aca="false">IF(A154="","",SUMIFS('Expense Log'!$C$5:$C$604,'Expense Log'!$J$5:$J$604,A154,'Expense Log'!$H$5:$H$604,Reports!$B$3))</f>
        <v>0</v>
      </c>
      <c r="C154" s="114" t="n">
        <f aca="false">IF(A154="","",SUMIFS('Expense Log'!$K$5:$K$604,'Expense Log'!$J$5:$J$604,A154,'Expense Log'!$H$5:$H$604,Reports!$B$3))</f>
        <v>0</v>
      </c>
      <c r="D154" s="206" t="n">
        <f aca="false">IF(A154="","",SUMIFS('Expense Log'!$C$5:$C$604,'Expense Log'!$J$5:$J$604,A154))</f>
        <v>0</v>
      </c>
      <c r="E154" s="114" t="n">
        <f aca="false">IF(A154="","",SUMIFS('Expense Log'!$K$5:$K$604,'Expense Log'!$J$5:$J$604,A154))</f>
        <v>0</v>
      </c>
      <c r="F154" s="190" t="n">
        <f aca="false">IF(A154="","",COUNTIF('Expense Log'!$J$5:$J$604,A154))</f>
        <v>0</v>
      </c>
      <c r="G154" s="207" t="n">
        <f aca="false">IF(A154="","",Setup!C37)</f>
        <v>7.1</v>
      </c>
    </row>
    <row r="155" customFormat="false" ht="15" hidden="false" customHeight="false" outlineLevel="0" collapsed="false">
      <c r="A155" s="191" t="str">
        <f aca="false">IF(OR(Setup!A38="",Setup!A38=Setup!$B$8),"",Setup!A38)</f>
        <v>VND</v>
      </c>
      <c r="B155" s="206" t="n">
        <f aca="false">IF(A155="","",SUMIFS('Expense Log'!$C$5:$C$604,'Expense Log'!$J$5:$J$604,A155,'Expense Log'!$H$5:$H$604,Reports!$B$3))</f>
        <v>0</v>
      </c>
      <c r="C155" s="114" t="n">
        <f aca="false">IF(A155="","",SUMIFS('Expense Log'!$K$5:$K$604,'Expense Log'!$J$5:$J$604,A155,'Expense Log'!$H$5:$H$604,Reports!$B$3))</f>
        <v>0</v>
      </c>
      <c r="D155" s="206" t="n">
        <f aca="false">IF(A155="","",SUMIFS('Expense Log'!$C$5:$C$604,'Expense Log'!$J$5:$J$604,A155))</f>
        <v>0</v>
      </c>
      <c r="E155" s="114" t="n">
        <f aca="false">IF(A155="","",SUMIFS('Expense Log'!$K$5:$K$604,'Expense Log'!$J$5:$J$604,A155))</f>
        <v>0</v>
      </c>
      <c r="F155" s="190" t="n">
        <f aca="false">IF(A155="","",COUNTIF('Expense Log'!$J$5:$J$604,A155))</f>
        <v>0</v>
      </c>
      <c r="G155" s="207" t="n">
        <f aca="false">IF(A155="","",Setup!C38)</f>
        <v>26000</v>
      </c>
    </row>
    <row r="156" customFormat="false" ht="15" hidden="false" customHeight="false" outlineLevel="0" collapsed="false">
      <c r="A156" s="191" t="str">
        <f aca="false">IF(OR(Setup!A39="",Setup!A39=Setup!$B$8),"",Setup!A39)</f>
        <v>AUD</v>
      </c>
      <c r="B156" s="206" t="n">
        <f aca="false">IF(A156="","",SUMIFS('Expense Log'!$C$5:$C$604,'Expense Log'!$J$5:$J$604,A156,'Expense Log'!$H$5:$H$604,Reports!$B$3))</f>
        <v>0</v>
      </c>
      <c r="C156" s="114" t="n">
        <f aca="false">IF(A156="","",SUMIFS('Expense Log'!$K$5:$K$604,'Expense Log'!$J$5:$J$604,A156,'Expense Log'!$H$5:$H$604,Reports!$B$3))</f>
        <v>0</v>
      </c>
      <c r="D156" s="206" t="n">
        <f aca="false">IF(A156="","",SUMIFS('Expense Log'!$C$5:$C$604,'Expense Log'!$J$5:$J$604,A156))</f>
        <v>0</v>
      </c>
      <c r="E156" s="114" t="n">
        <f aca="false">IF(A156="","",SUMIFS('Expense Log'!$K$5:$K$604,'Expense Log'!$J$5:$J$604,A156))</f>
        <v>0</v>
      </c>
      <c r="F156" s="190" t="n">
        <f aca="false">IF(A156="","",COUNTIF('Expense Log'!$J$5:$J$604,A156))</f>
        <v>0</v>
      </c>
      <c r="G156" s="207" t="n">
        <f aca="false">IF(A156="","",Setup!C39)</f>
        <v>1.5</v>
      </c>
    </row>
    <row r="157" customFormat="false" ht="15" hidden="false" customHeight="false" outlineLevel="0" collapsed="false">
      <c r="A157" s="191" t="str">
        <f aca="false">IF(OR(Setup!A40="",Setup!A40=Setup!$B$8),"",Setup!A40)</f>
        <v>NGN</v>
      </c>
      <c r="B157" s="206" t="n">
        <f aca="false">IF(A157="","",SUMIFS('Expense Log'!$C$5:$C$604,'Expense Log'!$J$5:$J$604,A157,'Expense Log'!$H$5:$H$604,Reports!$B$3))</f>
        <v>0</v>
      </c>
      <c r="C157" s="114" t="n">
        <f aca="false">IF(A157="","",SUMIFS('Expense Log'!$K$5:$K$604,'Expense Log'!$J$5:$J$604,A157,'Expense Log'!$H$5:$H$604,Reports!$B$3))</f>
        <v>0</v>
      </c>
      <c r="D157" s="206" t="n">
        <f aca="false">IF(A157="","",SUMIFS('Expense Log'!$C$5:$C$604,'Expense Log'!$J$5:$J$604,A157))</f>
        <v>0</v>
      </c>
      <c r="E157" s="114" t="n">
        <f aca="false">IF(A157="","",SUMIFS('Expense Log'!$K$5:$K$604,'Expense Log'!$J$5:$J$604,A157))</f>
        <v>0</v>
      </c>
      <c r="F157" s="190" t="n">
        <f aca="false">IF(A157="","",COUNTIF('Expense Log'!$J$5:$J$604,A157))</f>
        <v>0</v>
      </c>
      <c r="G157" s="207" t="n">
        <f aca="false">IF(A157="","",Setup!C40)</f>
        <v>1500</v>
      </c>
    </row>
    <row r="158" customFormat="false" ht="15" hidden="false" customHeight="false" outlineLevel="0" collapsed="false">
      <c r="A158" s="191" t="str">
        <f aca="false">IF(OR(Setup!A41="",Setup!A41=Setup!$B$8),"",Setup!A41)</f>
        <v/>
      </c>
      <c r="B158" s="206" t="str">
        <f aca="false">IF(A158="","",SUMIFS('Expense Log'!$C$5:$C$604,'Expense Log'!$J$5:$J$604,A158,'Expense Log'!$H$5:$H$604,Reports!$B$3))</f>
        <v/>
      </c>
      <c r="C158" s="114" t="str">
        <f aca="false">IF(A158="","",SUMIFS('Expense Log'!$K$5:$K$604,'Expense Log'!$J$5:$J$604,A158,'Expense Log'!$H$5:$H$604,Reports!$B$3))</f>
        <v/>
      </c>
      <c r="D158" s="206" t="str">
        <f aca="false">IF(A158="","",SUMIFS('Expense Log'!$C$5:$C$604,'Expense Log'!$J$5:$J$604,A158))</f>
        <v/>
      </c>
      <c r="E158" s="114" t="str">
        <f aca="false">IF(A158="","",SUMIFS('Expense Log'!$K$5:$K$604,'Expense Log'!$J$5:$J$604,A158))</f>
        <v/>
      </c>
      <c r="F158" s="190" t="str">
        <f aca="false">IF(A158="","",COUNTIF('Expense Log'!$J$5:$J$604,A158))</f>
        <v/>
      </c>
      <c r="G158" s="207" t="str">
        <f aca="false">IF(A158="","",Setup!C41)</f>
        <v/>
      </c>
    </row>
    <row r="159" customFormat="false" ht="15" hidden="false" customHeight="false" outlineLevel="0" collapsed="false">
      <c r="A159" s="191" t="str">
        <f aca="false">IF(OR(Setup!A42="",Setup!A42=Setup!$B$8),"",Setup!A42)</f>
        <v/>
      </c>
      <c r="B159" s="206" t="str">
        <f aca="false">IF(A159="","",SUMIFS('Expense Log'!$C$5:$C$604,'Expense Log'!$J$5:$J$604,A159,'Expense Log'!$H$5:$H$604,Reports!$B$3))</f>
        <v/>
      </c>
      <c r="C159" s="114" t="str">
        <f aca="false">IF(A159="","",SUMIFS('Expense Log'!$K$5:$K$604,'Expense Log'!$J$5:$J$604,A159,'Expense Log'!$H$5:$H$604,Reports!$B$3))</f>
        <v/>
      </c>
      <c r="D159" s="206" t="str">
        <f aca="false">IF(A159="","",SUMIFS('Expense Log'!$C$5:$C$604,'Expense Log'!$J$5:$J$604,A159))</f>
        <v/>
      </c>
      <c r="E159" s="114" t="str">
        <f aca="false">IF(A159="","",SUMIFS('Expense Log'!$K$5:$K$604,'Expense Log'!$J$5:$J$604,A159))</f>
        <v/>
      </c>
      <c r="F159" s="190" t="str">
        <f aca="false">IF(A159="","",COUNTIF('Expense Log'!$J$5:$J$604,A159))</f>
        <v/>
      </c>
      <c r="G159" s="207" t="str">
        <f aca="false">IF(A159="","",Setup!C42)</f>
        <v/>
      </c>
    </row>
    <row r="160" customFormat="false" ht="15" hidden="false" customHeight="false" outlineLevel="0" collapsed="false">
      <c r="A160" s="21" t="s">
        <v>1288</v>
      </c>
    </row>
  </sheetData>
  <sheetProtection sheet="true" scenarios="true" formatCells="false" formatColumns="false" formatRows="false" sort="false" autoFilter="false"/>
  <mergeCells count="9">
    <mergeCell ref="A6:B6"/>
    <mergeCell ref="C6:D6"/>
    <mergeCell ref="E6:F6"/>
    <mergeCell ref="A7:B7"/>
    <mergeCell ref="C7:D7"/>
    <mergeCell ref="E7:F7"/>
    <mergeCell ref="A8:B8"/>
    <mergeCell ref="C8:D8"/>
    <mergeCell ref="E8:F8"/>
  </mergeCells>
  <conditionalFormatting sqref="B11:B15">
    <cfRule type="dataBar" priority="2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{3BA43597-FDEC-4898-A92A-B74E5DE71C5E}</x14:id>
        </ext>
      </extLst>
    </cfRule>
  </conditionalFormatting>
  <conditionalFormatting sqref="F11:F15">
    <cfRule type="cellIs" priority="3" operator="equal" aboveAverage="0" equalAverage="0" bottom="0" percent="0" rank="0" text="" dxfId="30">
      <formula>"over"</formula>
    </cfRule>
    <cfRule type="cellIs" priority="4" operator="equal" aboveAverage="0" equalAverage="0" bottom="0" percent="0" rank="0" text="" dxfId="3">
      <formula>"ok"</formula>
    </cfRule>
    <cfRule type="cellIs" priority="5" operator="equal" aboveAverage="0" equalAverage="0" bottom="0" percent="0" rank="0" text="" dxfId="4">
      <formula>"no budget"</formula>
    </cfRule>
  </conditionalFormatting>
  <conditionalFormatting sqref="C19:C23">
    <cfRule type="cellIs" priority="6" operator="equal" aboveAverage="0" equalAverage="0" bottom="0" percent="0" rank="0" text="" dxfId="3">
      <formula>"ok"</formula>
    </cfRule>
    <cfRule type="cellIs" priority="7" operator="equal" aboveAverage="0" equalAverage="0" bottom="0" percent="0" rank="0" text="" dxfId="3">
      <formula>"clean"</formula>
    </cfRule>
    <cfRule type="cellIs" priority="8" operator="equal" aboveAverage="0" equalAverage="0" bottom="0" percent="0" rank="0" text="" dxfId="3">
      <formula>"clear"</formula>
    </cfRule>
    <cfRule type="cellIs" priority="9" operator="equal" aboveAverage="0" equalAverage="0" bottom="0" percent="0" rank="0" text="" dxfId="3">
      <formula>"done"</formula>
    </cfRule>
    <cfRule type="cellIs" priority="10" operator="equal" aboveAverage="0" equalAverage="0" bottom="0" percent="0" rank="0" text="" dxfId="4">
      <formula>"fix"</formula>
    </cfRule>
    <cfRule type="cellIs" priority="11" operator="equal" aboveAverage="0" equalAverage="0" bottom="0" percent="0" rank="0" text="" dxfId="4">
      <formula>"to do"</formula>
    </cfRule>
    <cfRule type="cellIs" priority="12" operator="equal" aboveAverage="0" equalAverage="0" bottom="0" percent="0" rank="0" text="" dxfId="4">
      <formula>"take it"</formula>
    </cfRule>
    <cfRule type="cellIs" priority="13" operator="equal" aboveAverage="0" equalAverage="0" bottom="0" percent="0" rank="0" text="" dxfId="4">
      <formula>"nothing logged"</formula>
    </cfRule>
  </conditionalFormatting>
  <conditionalFormatting sqref="A11:F15">
    <cfRule type="expression" priority="14" aboveAverage="0" equalAverage="0" bottom="0" percent="0" rank="0" text="" dxfId="5">
      <formula>MOD(ROW(),2)=0</formula>
    </cfRule>
  </conditionalFormatting>
  <conditionalFormatting sqref="A19:C23">
    <cfRule type="expression" priority="15" aboveAverage="0" equalAverage="0" bottom="0" percent="0" rank="0" text="" dxfId="5">
      <formula>MOD(ROW(),2)=0</formula>
    </cfRule>
  </conditionalFormatting>
  <conditionalFormatting sqref="B26:B40">
    <cfRule type="dataBar" priority="16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{4470402F-1D8C-4E4E-888E-1C52724B386C}</x14:id>
        </ext>
      </extLst>
    </cfRule>
  </conditionalFormatting>
  <conditionalFormatting sqref="A26:F40">
    <cfRule type="expression" priority="17" aboveAverage="0" equalAverage="0" bottom="0" percent="0" rank="0" text="" dxfId="5">
      <formula>MOD(ROW(),2)=0</formula>
    </cfRule>
  </conditionalFormatting>
  <conditionalFormatting sqref="F26:F40">
    <cfRule type="cellIs" priority="18" operator="equal" aboveAverage="0" equalAverage="0" bottom="0" percent="0" rank="0" text="" dxfId="30">
      <formula>"over"</formula>
    </cfRule>
    <cfRule type="cellIs" priority="19" operator="equal" aboveAverage="0" equalAverage="0" bottom="0" percent="0" rank="0" text="" dxfId="3">
      <formula>"ok"</formula>
    </cfRule>
    <cfRule type="cellIs" priority="20" operator="equal" aboveAverage="0" equalAverage="0" bottom="0" percent="0" rank="0" text="" dxfId="4">
      <formula>"no budget"</formula>
    </cfRule>
  </conditionalFormatting>
  <conditionalFormatting sqref="D46:D68">
    <cfRule type="dataBar" priority="21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{B0E562CB-D6F7-46E4-B4CF-7A1DC259C7E2}</x14:id>
        </ext>
      </extLst>
    </cfRule>
  </conditionalFormatting>
  <conditionalFormatting sqref="A46:G68">
    <cfRule type="expression" priority="22" aboveAverage="0" equalAverage="0" bottom="0" percent="0" rank="0" text="" dxfId="5">
      <formula>MOD(ROW(),2)=0</formula>
    </cfRule>
  </conditionalFormatting>
  <conditionalFormatting sqref="E46:E68">
    <cfRule type="cellIs" priority="23" operator="greaterThanOrEqual" aboveAverage="0" equalAverage="0" bottom="0" percent="0" rank="0" text="" dxfId="7">
      <formula>0.25</formula>
    </cfRule>
  </conditionalFormatting>
  <conditionalFormatting sqref="E76:E106">
    <cfRule type="dataBar" priority="24">
      <dataBar showValue="1" minLength="10" maxLength="90">
        <cfvo type="num" val="0"/>
        <cfvo type="max" val="0"/>
        <color rgb="FF0F8A6A"/>
      </dataBar>
      <extLst>
        <ext xmlns:x14="http://schemas.microsoft.com/office/spreadsheetml/2009/9/main" uri="{B025F937-C7B1-47D3-B67F-A62EFF666E3E}">
          <x14:id>{4FA468B6-D92F-44AB-9083-FBC046A31058}</x14:id>
        </ext>
      </extLst>
    </cfRule>
  </conditionalFormatting>
  <conditionalFormatting sqref="A76:F106">
    <cfRule type="expression" priority="25" aboveAverage="0" equalAverage="0" bottom="0" percent="0" rank="0" text="" dxfId="5">
      <formula>MOD(ROW(),2)=0</formula>
    </cfRule>
    <cfRule type="expression" priority="26" aboveAverage="0" equalAverage="0" bottom="0" percent="0" rank="0" text="" dxfId="35">
      <formula>$A76=""</formula>
    </cfRule>
  </conditionalFormatting>
  <conditionalFormatting sqref="F76:F106">
    <cfRule type="cellIs" priority="27" operator="equal" aboveAverage="0" equalAverage="0" bottom="0" percent="0" rank="0" text="" dxfId="30">
      <formula>"over"</formula>
    </cfRule>
    <cfRule type="cellIs" priority="28" operator="equal" aboveAverage="0" equalAverage="0" bottom="0" percent="0" rank="0" text="" dxfId="3">
      <formula>"ok"</formula>
    </cfRule>
    <cfRule type="cellIs" priority="29" operator="equal" aboveAverage="0" equalAverage="0" bottom="0" percent="0" rank="0" text="" dxfId="4">
      <formula>"no budget"</formula>
    </cfRule>
  </conditionalFormatting>
  <conditionalFormatting sqref="D76:D106">
    <cfRule type="cellIs" priority="30" operator="greaterThan" aboveAverage="0" equalAverage="0" bottom="0" percent="0" rank="0" text="" dxfId="7">
      <formula>0</formula>
    </cfRule>
  </conditionalFormatting>
  <conditionalFormatting sqref="A112:G134">
    <cfRule type="expression" priority="31" aboveAverage="0" equalAverage="0" bottom="0" percent="0" rank="0" text="" dxfId="5">
      <formula>MOD(ROW(),2)=0</formula>
    </cfRule>
    <cfRule type="expression" priority="32" aboveAverage="0" equalAverage="0" bottom="0" percent="0" rank="0" text="" dxfId="35">
      <formula>$A112=""</formula>
    </cfRule>
  </conditionalFormatting>
  <conditionalFormatting sqref="E112:E134">
    <cfRule type="dataBar" priority="33">
      <dataBar showValue="1" minLength="10" maxLength="90">
        <cfvo type="num" val="0"/>
        <cfvo type="max" val="0"/>
        <color rgb="FFE0A020"/>
      </dataBar>
      <extLst>
        <ext xmlns:x14="http://schemas.microsoft.com/office/spreadsheetml/2009/9/main" uri="{B025F937-C7B1-47D3-B67F-A62EFF666E3E}">
          <x14:id>{28254951-736E-40D5-A6D2-E459F7B5F238}</x14:id>
        </ext>
      </extLst>
    </cfRule>
    <cfRule type="expression" priority="34" aboveAverage="0" equalAverage="0" bottom="0" percent="0" rank="0" text="" dxfId="12">
      <formula>ISTEXT(E112)</formula>
    </cfRule>
  </conditionalFormatting>
  <conditionalFormatting sqref="A140:G159">
    <cfRule type="expression" priority="35" aboveAverage="0" equalAverage="0" bottom="0" percent="0" rank="0" text="" dxfId="5">
      <formula>MOD(ROW(),2)=0</formula>
    </cfRule>
    <cfRule type="expression" priority="36" aboveAverage="0" equalAverage="0" bottom="0" percent="0" rank="0" text="" dxfId="35">
      <formula>$A140=""</formula>
    </cfRule>
    <cfRule type="expression" priority="37" aboveAverage="0" equalAverage="0" bottom="0" percent="0" rank="0" text="" dxfId="36">
      <formula>AND($A140&lt;&gt;"",$F140=0)</formula>
    </cfRule>
  </conditionalFormatting>
  <hyperlinks>
    <hyperlink ref="A1" r:id="rId2" location="'Home'!A1" display="⌂ Home"/>
    <hyperlink ref="B1" r:id="rId3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Reports&amp;R&amp;8 Page &amp;P of &amp;N · printed &amp;D</oddFooter>
  </headerFooter>
  <rowBreaks count="3" manualBreakCount="3">
    <brk id="43" man="true" max="16383" min="0"/>
    <brk id="73" man="true" max="16383" min="0"/>
    <brk id="109" man="true" max="16383" min="0"/>
  </rowBreaks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A43597-FDEC-4898-A92A-B74E5DE71C5E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B11:B15</xm:sqref>
        </x14:conditionalFormatting>
        <x14:conditionalFormatting xmlns:xm="http://schemas.microsoft.com/office/excel/2006/main">
          <x14:cfRule type="dataBar" id="{4470402F-1D8C-4E4E-888E-1C52724B386C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B26:B40</xm:sqref>
        </x14:conditionalFormatting>
        <x14:conditionalFormatting xmlns:xm="http://schemas.microsoft.com/office/excel/2006/main">
          <x14:cfRule type="dataBar" id="{B0E562CB-D6F7-46E4-B4CF-7A1DC259C7E2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D46:D68</xm:sqref>
        </x14:conditionalFormatting>
        <x14:conditionalFormatting xmlns:xm="http://schemas.microsoft.com/office/excel/2006/main">
          <x14:cfRule type="dataBar" id="{4FA468B6-D92F-44AB-9083-FBC046A31058}">
            <x14:dataBar minLength="10" maxLength="90" axisPosition="none" gradient="true">
              <x14:cfvo type="num">
                <xm:f>0</xm:f>
              </x14:cfvo>
              <x14:cfvo type="max"/>
              <x14:negativeFillColor rgb="FF0F8A6A"/>
              <x14:axisColor rgb="FF000000"/>
            </x14:dataBar>
          </x14:cfRule>
          <xm:sqref>E76:E106</xm:sqref>
        </x14:conditionalFormatting>
        <x14:conditionalFormatting xmlns:xm="http://schemas.microsoft.com/office/excel/2006/main">
          <x14:cfRule type="dataBar" id="{28254951-736E-40D5-A6D2-E459F7B5F238}">
            <x14:dataBar minLength="10" maxLength="90" axisPosition="none" gradient="true">
              <x14:cfvo type="num">
                <xm:f>0</xm:f>
              </x14:cfvo>
              <x14:cfvo type="max"/>
              <x14:negativeFillColor rgb="FFE0A020"/>
              <x14:axisColor rgb="FF000000"/>
            </x14:dataBar>
          </x14:cfRule>
          <xm:sqref>E112:E134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0"/>
  </cols>
  <sheetData>
    <row r="1" customFormat="false" ht="33.75" hidden="false" customHeight="tru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24" hidden="false" customHeight="true" outlineLevel="0" collapsed="false">
      <c r="A2" s="98" t="s">
        <v>1289</v>
      </c>
    </row>
    <row r="3" customFormat="false" ht="15" hidden="false" customHeight="false" outlineLevel="0" collapsed="false">
      <c r="A3" s="21" t="s">
        <v>1290</v>
      </c>
    </row>
    <row r="4" customFormat="false" ht="19.5" hidden="false" customHeight="true" outlineLevel="0" collapsed="false">
      <c r="A4" s="107" t="s">
        <v>766</v>
      </c>
      <c r="B4" s="107" t="s">
        <v>1291</v>
      </c>
    </row>
    <row r="5" customFormat="false" ht="15" hidden="false" customHeight="false" outlineLevel="0" collapsed="false">
      <c r="A5" s="189" t="s">
        <v>1292</v>
      </c>
      <c r="B5" s="108" t="s">
        <v>1293</v>
      </c>
    </row>
    <row r="6" customFormat="false" ht="15" hidden="false" customHeight="false" outlineLevel="0" collapsed="false">
      <c r="A6" s="189" t="s">
        <v>1294</v>
      </c>
      <c r="B6" s="108" t="s">
        <v>1295</v>
      </c>
    </row>
    <row r="7" customFormat="false" ht="15" hidden="false" customHeight="false" outlineLevel="0" collapsed="false">
      <c r="A7" s="189" t="s">
        <v>1296</v>
      </c>
      <c r="B7" s="108" t="s">
        <v>600</v>
      </c>
    </row>
    <row r="8" customFormat="false" ht="15" hidden="false" customHeight="false" outlineLevel="0" collapsed="false">
      <c r="A8" s="189" t="s">
        <v>1297</v>
      </c>
      <c r="B8" s="150" t="s">
        <v>1298</v>
      </c>
    </row>
    <row r="9" customFormat="false" ht="15" hidden="false" customHeight="false" outlineLevel="0" collapsed="false">
      <c r="A9" s="189" t="s">
        <v>1299</v>
      </c>
      <c r="B9" s="150" t="s">
        <v>1300</v>
      </c>
    </row>
    <row r="10" customFormat="false" ht="15" hidden="false" customHeight="false" outlineLevel="0" collapsed="false">
      <c r="A10" s="189" t="s">
        <v>222</v>
      </c>
      <c r="B10" s="150" t="s">
        <v>1301</v>
      </c>
    </row>
    <row r="11" customFormat="false" ht="15" hidden="false" customHeight="false" outlineLevel="0" collapsed="false">
      <c r="A11" s="189" t="s">
        <v>1302</v>
      </c>
      <c r="B11" s="108" t="s">
        <v>1303</v>
      </c>
    </row>
    <row r="14" customFormat="false" ht="18.75" hidden="false" customHeight="true" outlineLevel="0" collapsed="false">
      <c r="A14" s="56" t="s">
        <v>1304</v>
      </c>
      <c r="B14" s="3"/>
    </row>
    <row r="15" customFormat="false" ht="19.5" hidden="false" customHeight="true" outlineLevel="0" collapsed="false">
      <c r="A15" s="107" t="s">
        <v>45</v>
      </c>
      <c r="B15" s="107" t="s">
        <v>1305</v>
      </c>
    </row>
    <row r="16" customFormat="false" ht="25.35" hidden="false" customHeight="false" outlineLevel="0" collapsed="false">
      <c r="A16" s="108" t="s">
        <v>1295</v>
      </c>
      <c r="B16" s="208" t="s">
        <v>1306</v>
      </c>
    </row>
    <row r="17" customFormat="false" ht="15" hidden="false" customHeight="false" outlineLevel="0" collapsed="false">
      <c r="A17" s="108"/>
      <c r="B17" s="108"/>
    </row>
    <row r="18" customFormat="false" ht="15" hidden="false" customHeight="false" outlineLevel="0" collapsed="false">
      <c r="A18" s="108"/>
      <c r="B18" s="108"/>
    </row>
    <row r="19" customFormat="false" ht="15" hidden="false" customHeight="false" outlineLevel="0" collapsed="false">
      <c r="A19" s="108"/>
      <c r="B19" s="108"/>
    </row>
    <row r="20" customFormat="false" ht="15" hidden="false" customHeight="false" outlineLevel="0" collapsed="false">
      <c r="A20" s="108"/>
      <c r="B20" s="108"/>
    </row>
    <row r="21" customFormat="false" ht="15" hidden="false" customHeight="false" outlineLevel="0" collapsed="false">
      <c r="A21" s="108"/>
      <c r="B21" s="108"/>
    </row>
    <row r="22" customFormat="false" ht="15" hidden="false" customHeight="false" outlineLevel="0" collapsed="false">
      <c r="A22" s="108"/>
      <c r="B22" s="108"/>
    </row>
    <row r="23" customFormat="false" ht="15" hidden="false" customHeight="false" outlineLevel="0" collapsed="false">
      <c r="A23" s="108"/>
      <c r="B23" s="108"/>
    </row>
    <row r="24" customFormat="false" ht="15" hidden="false" customHeight="false" outlineLevel="0" collapsed="false">
      <c r="A24" s="108"/>
      <c r="B24" s="108"/>
    </row>
    <row r="25" customFormat="false" ht="15" hidden="false" customHeight="false" outlineLevel="0" collapsed="false">
      <c r="A25" s="108"/>
      <c r="B25" s="108"/>
    </row>
    <row r="26" customFormat="false" ht="15" hidden="false" customHeight="false" outlineLevel="0" collapsed="false">
      <c r="A26" s="108"/>
      <c r="B26" s="108"/>
    </row>
    <row r="27" customFormat="false" ht="15" hidden="false" customHeight="false" outlineLevel="0" collapsed="false">
      <c r="A27" s="108"/>
      <c r="B27" s="108"/>
    </row>
    <row r="28" customFormat="false" ht="15" hidden="false" customHeight="false" outlineLevel="0" collapsed="false">
      <c r="A28" s="108"/>
      <c r="B28" s="108"/>
    </row>
    <row r="29" customFormat="false" ht="15" hidden="false" customHeight="false" outlineLevel="0" collapsed="false">
      <c r="A29" s="108"/>
      <c r="B29" s="108"/>
    </row>
    <row r="30" customFormat="false" ht="15" hidden="false" customHeight="false" outlineLevel="0" collapsed="false">
      <c r="A30" s="108"/>
      <c r="B30" s="108"/>
    </row>
    <row r="31" customFormat="false" ht="15" hidden="false" customHeight="false" outlineLevel="0" collapsed="false">
      <c r="A31" s="108"/>
      <c r="B31" s="108"/>
    </row>
    <row r="32" customFormat="false" ht="15" hidden="false" customHeight="false" outlineLevel="0" collapsed="false">
      <c r="A32" s="108"/>
      <c r="B32" s="108"/>
    </row>
    <row r="33" customFormat="false" ht="15" hidden="false" customHeight="false" outlineLevel="0" collapsed="false">
      <c r="A33" s="108"/>
      <c r="B33" s="108"/>
    </row>
    <row r="34" customFormat="false" ht="15" hidden="false" customHeight="false" outlineLevel="0" collapsed="false">
      <c r="A34" s="108"/>
      <c r="B34" s="108"/>
    </row>
    <row r="35" customFormat="false" ht="15" hidden="false" customHeight="false" outlineLevel="0" collapsed="false">
      <c r="A35" s="108"/>
      <c r="B35" s="108"/>
    </row>
  </sheetData>
  <sheetProtection sheet="true" scenarios="true" formatCells="false" formatColumns="false" formatRows="false" sort="false" autoFilter="false"/>
  <hyperlinks>
    <hyperlink ref="A1" r:id="rId1" location="'Home'!A1" display="⌂ Home"/>
    <hyperlink ref="B1" r:id="rId2" location="'Dashboard'!A1" display="Dashboard"/>
  </hyperlinks>
  <printOptions headings="false" gridLines="false" gridLinesSet="true" horizontalCentered="false" verticalCentered="false"/>
  <pageMargins left="0.3" right="0.3" top="0.45" bottom="0.45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Household plan · About&amp;R&amp;8 Page &amp;P of &amp;N · 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2026-10-13T23:44:39Z</dcterms:created>
  <dc:creator>openpyxl</dc:creator>
  <dc:description/>
  <dc:language>en-US</dc:language>
  <cp:lastModifiedBy/>
  <dcterms:modified xsi:type="dcterms:W3CDTF">2026-10-13T19:44:43Z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